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28660" yWindow="100" windowWidth="16460" windowHeight="25700" tabRatio="500"/>
  </bookViews>
  <sheets>
    <sheet name="Sheet1" sheetId="1" r:id="rId1"/>
    <sheet name="Staffing Hours" sheetId="2" r:id="rId2"/>
    <sheet name="Staffing Hours (2)" sheetId="4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0" i="1" l="1"/>
  <c r="C117" i="1"/>
  <c r="C125" i="1"/>
  <c r="C112" i="1"/>
  <c r="C111" i="1"/>
  <c r="C113" i="1"/>
  <c r="C108" i="1"/>
  <c r="C103" i="1"/>
  <c r="C98" i="1"/>
  <c r="C85" i="1"/>
  <c r="C78" i="1"/>
  <c r="C74" i="1"/>
  <c r="C66" i="1"/>
  <c r="C58" i="1"/>
  <c r="C53" i="1"/>
  <c r="C3" i="1"/>
  <c r="C4" i="1"/>
  <c r="C6" i="1"/>
  <c r="C8" i="1"/>
  <c r="C44" i="1"/>
  <c r="C12" i="1"/>
  <c r="C14" i="1"/>
  <c r="C15" i="1"/>
  <c r="C16" i="1"/>
  <c r="C17" i="1"/>
  <c r="C18" i="1"/>
  <c r="C19" i="1"/>
  <c r="C21" i="1"/>
  <c r="C22" i="1"/>
  <c r="C26" i="1"/>
  <c r="C27" i="1"/>
  <c r="C28" i="1"/>
  <c r="C33" i="1"/>
  <c r="C34" i="1"/>
  <c r="C42" i="1"/>
  <c r="C46" i="1"/>
  <c r="C48" i="1"/>
  <c r="H88" i="4"/>
  <c r="H89" i="4"/>
  <c r="H90" i="4"/>
  <c r="H91" i="4"/>
  <c r="C35" i="4"/>
  <c r="B35" i="4"/>
  <c r="E35" i="4"/>
  <c r="C36" i="4"/>
  <c r="E36" i="4"/>
  <c r="E37" i="4"/>
  <c r="G37" i="4"/>
  <c r="B90" i="4"/>
  <c r="C90" i="4"/>
  <c r="C89" i="4"/>
  <c r="C88" i="4"/>
  <c r="D42" i="4"/>
  <c r="E42" i="4"/>
  <c r="G42" i="4"/>
  <c r="C87" i="4"/>
  <c r="C86" i="4"/>
  <c r="C85" i="4"/>
  <c r="E31" i="4"/>
  <c r="C32" i="4"/>
  <c r="B32" i="4"/>
  <c r="E32" i="4"/>
  <c r="E33" i="4"/>
  <c r="G33" i="4"/>
  <c r="B84" i="4"/>
  <c r="C84" i="4"/>
  <c r="C83" i="4"/>
  <c r="C82" i="4"/>
  <c r="J73" i="4"/>
  <c r="I73" i="4"/>
  <c r="H68" i="4"/>
  <c r="H69" i="4"/>
  <c r="H70" i="4"/>
  <c r="H71" i="4"/>
  <c r="H72" i="4"/>
  <c r="H73" i="4"/>
  <c r="G68" i="4"/>
  <c r="G69" i="4"/>
  <c r="G70" i="4"/>
  <c r="G71" i="4"/>
  <c r="G72" i="4"/>
  <c r="G73" i="4"/>
  <c r="F73" i="4"/>
  <c r="E68" i="4"/>
  <c r="E69" i="4"/>
  <c r="E70" i="4"/>
  <c r="E71" i="4"/>
  <c r="E72" i="4"/>
  <c r="E73" i="4"/>
  <c r="D68" i="4"/>
  <c r="D69" i="4"/>
  <c r="D70" i="4"/>
  <c r="D71" i="4"/>
  <c r="D72" i="4"/>
  <c r="D73" i="4"/>
  <c r="C73" i="4"/>
  <c r="B68" i="4"/>
  <c r="B69" i="4"/>
  <c r="B70" i="4"/>
  <c r="B71" i="4"/>
  <c r="B72" i="4"/>
  <c r="B73" i="4"/>
  <c r="J62" i="4"/>
  <c r="I62" i="4"/>
  <c r="H53" i="4"/>
  <c r="H54" i="4"/>
  <c r="H55" i="4"/>
  <c r="H56" i="4"/>
  <c r="H57" i="4"/>
  <c r="H58" i="4"/>
  <c r="H59" i="4"/>
  <c r="H60" i="4"/>
  <c r="H61" i="4"/>
  <c r="H62" i="4"/>
  <c r="G53" i="4"/>
  <c r="G54" i="4"/>
  <c r="G55" i="4"/>
  <c r="G56" i="4"/>
  <c r="G57" i="4"/>
  <c r="G58" i="4"/>
  <c r="G59" i="4"/>
  <c r="G60" i="4"/>
  <c r="G61" i="4"/>
  <c r="G62" i="4"/>
  <c r="F53" i="4"/>
  <c r="F54" i="4"/>
  <c r="F55" i="4"/>
  <c r="F56" i="4"/>
  <c r="F57" i="4"/>
  <c r="F58" i="4"/>
  <c r="F59" i="4"/>
  <c r="B60" i="4"/>
  <c r="F60" i="4"/>
  <c r="F61" i="4"/>
  <c r="F62" i="4"/>
  <c r="E53" i="4"/>
  <c r="E54" i="4"/>
  <c r="E55" i="4"/>
  <c r="E56" i="4"/>
  <c r="E57" i="4"/>
  <c r="E58" i="4"/>
  <c r="E59" i="4"/>
  <c r="E60" i="4"/>
  <c r="E61" i="4"/>
  <c r="E62" i="4"/>
  <c r="D54" i="4"/>
  <c r="D56" i="4"/>
  <c r="D59" i="4"/>
  <c r="D62" i="4"/>
  <c r="C62" i="4"/>
  <c r="B62" i="4"/>
  <c r="G46" i="4"/>
  <c r="H16" i="4"/>
  <c r="K16" i="4"/>
  <c r="H17" i="4"/>
  <c r="K17" i="4"/>
  <c r="H18" i="4"/>
  <c r="K18" i="4"/>
  <c r="H19" i="4"/>
  <c r="K19" i="4"/>
  <c r="H20" i="4"/>
  <c r="K20" i="4"/>
  <c r="K21" i="4"/>
  <c r="J16" i="4"/>
  <c r="J17" i="4"/>
  <c r="J18" i="4"/>
  <c r="J19" i="4"/>
  <c r="J20" i="4"/>
  <c r="J21" i="4"/>
  <c r="I16" i="4"/>
  <c r="I17" i="4"/>
  <c r="I18" i="4"/>
  <c r="I19" i="4"/>
  <c r="I20" i="4"/>
  <c r="I21" i="4"/>
  <c r="C5" i="4"/>
  <c r="E5" i="4"/>
  <c r="C4" i="4"/>
  <c r="C2" i="4"/>
  <c r="E2" i="4"/>
  <c r="B84" i="2"/>
  <c r="G33" i="2"/>
  <c r="B90" i="2"/>
  <c r="G37" i="2"/>
  <c r="H88" i="2"/>
  <c r="H89" i="2"/>
  <c r="H90" i="2"/>
  <c r="H91" i="2"/>
  <c r="C90" i="2"/>
  <c r="C89" i="2"/>
  <c r="C88" i="2"/>
  <c r="D42" i="2"/>
  <c r="E42" i="2"/>
  <c r="G42" i="2"/>
  <c r="C87" i="2"/>
  <c r="C86" i="2"/>
  <c r="C85" i="2"/>
  <c r="C84" i="2"/>
  <c r="C83" i="2"/>
  <c r="C82" i="2"/>
  <c r="J73" i="2"/>
  <c r="I73" i="2"/>
  <c r="H68" i="2"/>
  <c r="H69" i="2"/>
  <c r="H70" i="2"/>
  <c r="H71" i="2"/>
  <c r="H72" i="2"/>
  <c r="H73" i="2"/>
  <c r="G68" i="2"/>
  <c r="G69" i="2"/>
  <c r="G70" i="2"/>
  <c r="G71" i="2"/>
  <c r="G72" i="2"/>
  <c r="G73" i="2"/>
  <c r="F73" i="2"/>
  <c r="E68" i="2"/>
  <c r="E69" i="2"/>
  <c r="E70" i="2"/>
  <c r="E71" i="2"/>
  <c r="E72" i="2"/>
  <c r="E73" i="2"/>
  <c r="D68" i="2"/>
  <c r="D69" i="2"/>
  <c r="D70" i="2"/>
  <c r="D71" i="2"/>
  <c r="D72" i="2"/>
  <c r="D73" i="2"/>
  <c r="C73" i="2"/>
  <c r="B68" i="2"/>
  <c r="B69" i="2"/>
  <c r="B70" i="2"/>
  <c r="B71" i="2"/>
  <c r="B72" i="2"/>
  <c r="B73" i="2"/>
  <c r="J62" i="2"/>
  <c r="I62" i="2"/>
  <c r="H53" i="2"/>
  <c r="H54" i="2"/>
  <c r="H55" i="2"/>
  <c r="H56" i="2"/>
  <c r="H57" i="2"/>
  <c r="H58" i="2"/>
  <c r="H59" i="2"/>
  <c r="H60" i="2"/>
  <c r="H61" i="2"/>
  <c r="H62" i="2"/>
  <c r="G53" i="2"/>
  <c r="G54" i="2"/>
  <c r="G55" i="2"/>
  <c r="G56" i="2"/>
  <c r="G57" i="2"/>
  <c r="G58" i="2"/>
  <c r="G59" i="2"/>
  <c r="G60" i="2"/>
  <c r="G61" i="2"/>
  <c r="G62" i="2"/>
  <c r="F53" i="2"/>
  <c r="F54" i="2"/>
  <c r="F55" i="2"/>
  <c r="F56" i="2"/>
  <c r="F57" i="2"/>
  <c r="F58" i="2"/>
  <c r="F59" i="2"/>
  <c r="B60" i="2"/>
  <c r="F60" i="2"/>
  <c r="F61" i="2"/>
  <c r="F62" i="2"/>
  <c r="E53" i="2"/>
  <c r="E54" i="2"/>
  <c r="E55" i="2"/>
  <c r="E56" i="2"/>
  <c r="E57" i="2"/>
  <c r="E58" i="2"/>
  <c r="E59" i="2"/>
  <c r="E60" i="2"/>
  <c r="E61" i="2"/>
  <c r="E62" i="2"/>
  <c r="D54" i="2"/>
  <c r="D56" i="2"/>
  <c r="D59" i="2"/>
  <c r="D62" i="2"/>
  <c r="C62" i="2"/>
  <c r="B62" i="2"/>
  <c r="G46" i="2"/>
  <c r="C35" i="2"/>
  <c r="B35" i="2"/>
  <c r="E35" i="2"/>
  <c r="C36" i="2"/>
  <c r="E36" i="2"/>
  <c r="E37" i="2"/>
  <c r="E31" i="2"/>
  <c r="C32" i="2"/>
  <c r="B32" i="2"/>
  <c r="E32" i="2"/>
  <c r="E33" i="2"/>
  <c r="H16" i="2"/>
  <c r="K16" i="2"/>
  <c r="H17" i="2"/>
  <c r="K17" i="2"/>
  <c r="H18" i="2"/>
  <c r="K18" i="2"/>
  <c r="H19" i="2"/>
  <c r="K19" i="2"/>
  <c r="H20" i="2"/>
  <c r="K20" i="2"/>
  <c r="K21" i="2"/>
  <c r="J16" i="2"/>
  <c r="J17" i="2"/>
  <c r="J18" i="2"/>
  <c r="J19" i="2"/>
  <c r="J20" i="2"/>
  <c r="J21" i="2"/>
  <c r="I16" i="2"/>
  <c r="I17" i="2"/>
  <c r="I18" i="2"/>
  <c r="I19" i="2"/>
  <c r="I20" i="2"/>
  <c r="I21" i="2"/>
  <c r="C5" i="2"/>
  <c r="E5" i="2"/>
  <c r="C4" i="2"/>
  <c r="C2" i="2"/>
  <c r="E2" i="2"/>
</calcChain>
</file>

<file path=xl/comments1.xml><?xml version="1.0" encoding="utf-8"?>
<comments xmlns="http://schemas.openxmlformats.org/spreadsheetml/2006/main">
  <authors>
    <author>Yfs</author>
  </authors>
  <commentList>
    <comment ref="C11" authorId="0">
      <text>
        <r>
          <rPr>
            <b/>
            <sz val="9"/>
            <color indexed="81"/>
            <rFont val="Calibri"/>
            <family val="2"/>
          </rPr>
          <t>Yfs:</t>
        </r>
        <r>
          <rPr>
            <sz val="9"/>
            <color indexed="81"/>
            <rFont val="Calibri"/>
            <family val="2"/>
          </rPr>
          <t xml:space="preserve">
Grant Thorton and Cooper &amp; Co.</t>
        </r>
      </text>
    </comment>
    <comment ref="C24" authorId="0">
      <text>
        <r>
          <rPr>
            <b/>
            <sz val="9"/>
            <color indexed="81"/>
            <rFont val="Calibri"/>
            <family val="2"/>
          </rPr>
          <t>Yfs:</t>
        </r>
        <r>
          <rPr>
            <sz val="9"/>
            <color indexed="81"/>
            <rFont val="Calibri"/>
            <family val="2"/>
          </rPr>
          <t xml:space="preserve">
office tellphones and cell phones</t>
        </r>
      </text>
    </comment>
    <comment ref="C25" authorId="0">
      <text>
        <r>
          <rPr>
            <b/>
            <sz val="9"/>
            <color indexed="81"/>
            <rFont val="Calibri"/>
            <family val="2"/>
          </rPr>
          <t>Yfs:</t>
        </r>
        <r>
          <rPr>
            <sz val="9"/>
            <color indexed="81"/>
            <rFont val="Calibri"/>
            <family val="2"/>
          </rPr>
          <t xml:space="preserve">
Miscelleanous expense
: birthday presents, birthday cakes, gifts</t>
        </r>
      </text>
    </comment>
    <comment ref="C31" authorId="0">
      <text>
        <r>
          <rPr>
            <b/>
            <sz val="9"/>
            <color indexed="81"/>
            <rFont val="Calibri"/>
            <family val="2"/>
          </rPr>
          <t>Yfs:</t>
        </r>
        <r>
          <rPr>
            <sz val="9"/>
            <color indexed="81"/>
            <rFont val="Calibri"/>
            <family val="2"/>
          </rPr>
          <t xml:space="preserve">
Some years we spend more than 35 and some years less.  Unfortunately we can't put a price on democracy.  It depends on how many people run from year to year it can fluctualate 
</t>
        </r>
      </text>
    </comment>
    <comment ref="C40" authorId="0">
      <text>
        <r>
          <rPr>
            <b/>
            <sz val="9"/>
            <color indexed="81"/>
            <rFont val="Calibri"/>
            <family val="2"/>
          </rPr>
          <t>Yfs:</t>
        </r>
        <r>
          <rPr>
            <sz val="9"/>
            <color indexed="81"/>
            <rFont val="Calibri"/>
            <family val="2"/>
          </rPr>
          <t xml:space="preserve">
In lieu of supporting accessibility needs for the access centre, the exectuve did not want to affect the programming budget of the CSGs</t>
        </r>
      </text>
    </comment>
    <comment ref="C51" authorId="0">
      <text>
        <r>
          <rPr>
            <b/>
            <sz val="9"/>
            <color indexed="81"/>
            <rFont val="Calibri"/>
            <family val="2"/>
          </rPr>
          <t>Yfs:</t>
        </r>
        <r>
          <rPr>
            <sz val="9"/>
            <color indexed="81"/>
            <rFont val="Calibri"/>
            <family val="2"/>
          </rPr>
          <t xml:space="preserve">
Miscelleaneous income, interest revenue on banking accounts, contiki, places 4 students, lap top rental </t>
        </r>
      </text>
    </comment>
    <comment ref="C56" authorId="0">
      <text>
        <r>
          <rPr>
            <sz val="12"/>
            <color indexed="8"/>
            <rFont val="Calibri"/>
            <family val="2"/>
          </rPr>
          <t xml:space="preserve">Yfs:
</t>
        </r>
        <r>
          <rPr>
            <b/>
            <sz val="9"/>
            <color indexed="81"/>
            <rFont val="Calibri"/>
            <family val="2"/>
          </rPr>
          <t>perhaps it was initially intended for Gmail</t>
        </r>
      </text>
    </comment>
    <comment ref="C95" authorId="0">
      <text>
        <r>
          <rPr>
            <b/>
            <sz val="9"/>
            <color indexed="81"/>
            <rFont val="Calibri"/>
            <family val="2"/>
          </rPr>
          <t>Yfs:</t>
        </r>
        <r>
          <rPr>
            <sz val="9"/>
            <color indexed="81"/>
            <rFont val="Calibri"/>
            <family val="2"/>
          </rPr>
          <t xml:space="preserve">
YFS and CSG partnered projects </t>
        </r>
      </text>
    </comment>
    <comment ref="C107" authorId="0">
      <text>
        <r>
          <rPr>
            <sz val="12"/>
            <color indexed="8"/>
            <rFont val="Calibri"/>
            <family val="2"/>
          </rPr>
          <t>Yfs:</t>
        </r>
        <r>
          <rPr>
            <sz val="9"/>
            <color indexed="81"/>
            <rFont val="Calibri"/>
            <family val="2"/>
          </rPr>
          <t xml:space="preserve">
this is a symbolic cost the gets posted into audit.  The best way accounting works, is that your purchase an item it becomes a n asset.  So in terms of looking at a computer .  Its going to depreciate over X amount of years.  In stead of incurreing the full cost of the item, you incurr the loss over the life time of the product.  </t>
        </r>
      </text>
    </comment>
    <comment ref="C117" authorId="0">
      <text>
        <r>
          <rPr>
            <b/>
            <sz val="9"/>
            <color indexed="81"/>
            <rFont val="Calibri"/>
            <family val="2"/>
          </rPr>
          <t>Yfs:</t>
        </r>
        <r>
          <rPr>
            <sz val="9"/>
            <color indexed="81"/>
            <rFont val="Calibri"/>
            <family val="2"/>
          </rPr>
          <t xml:space="preserve">
Cost of Hand book minus sponsorship adds</t>
        </r>
      </text>
    </comment>
    <comment ref="C118" authorId="0">
      <text>
        <r>
          <rPr>
            <b/>
            <sz val="9"/>
            <color indexed="81"/>
            <rFont val="Calibri"/>
            <family val="2"/>
          </rPr>
          <t>Yfs:</t>
        </r>
        <r>
          <rPr>
            <sz val="9"/>
            <color indexed="81"/>
            <rFont val="Calibri"/>
            <family val="2"/>
          </rPr>
          <t xml:space="preserve">
Bill Reid</t>
        </r>
      </text>
    </comment>
    <comment ref="C119" authorId="0">
      <text>
        <r>
          <rPr>
            <b/>
            <sz val="9"/>
            <color indexed="81"/>
            <rFont val="Calibri"/>
            <family val="2"/>
          </rPr>
          <t>Yfs:</t>
        </r>
        <r>
          <rPr>
            <sz val="9"/>
            <color indexed="81"/>
            <rFont val="Calibri"/>
            <family val="2"/>
          </rPr>
          <t xml:space="preserve">
5000 needs to be added elsewhere to compensate for the increasing cost.  This is the wages for the food bank pt staff
</t>
        </r>
      </text>
    </comment>
    <comment ref="C120" authorId="0">
      <text>
        <r>
          <rPr>
            <b/>
            <sz val="9"/>
            <color indexed="81"/>
            <rFont val="Calibri"/>
            <family val="2"/>
          </rPr>
          <t>Yfs:</t>
        </r>
        <r>
          <rPr>
            <sz val="9"/>
            <color indexed="81"/>
            <rFont val="Calibri"/>
            <family val="2"/>
          </rPr>
          <t xml:space="preserve">
Rent we pay to the student Centre, for MSO office. </t>
        </r>
      </text>
    </comment>
    <comment ref="C121" authorId="0">
      <text>
        <r>
          <rPr>
            <b/>
            <sz val="9"/>
            <color indexed="81"/>
            <rFont val="Calibri"/>
            <family val="2"/>
          </rPr>
          <t>Yfs:</t>
        </r>
        <r>
          <rPr>
            <sz val="9"/>
            <color indexed="81"/>
            <rFont val="Calibri"/>
            <family val="2"/>
          </rPr>
          <t xml:space="preserve">
front desk,student advocate, 
 mso and printing centre, and supervisor wages</t>
        </r>
      </text>
    </comment>
    <comment ref="C122" authorId="0">
      <text>
        <r>
          <rPr>
            <b/>
            <sz val="9"/>
            <color indexed="81"/>
            <rFont val="Calibri"/>
            <family val="2"/>
          </rPr>
          <t>Yfs:</t>
        </r>
        <r>
          <rPr>
            <sz val="9"/>
            <color indexed="81"/>
            <rFont val="Calibri"/>
            <family val="2"/>
          </rPr>
          <t xml:space="preserve">
Renelle and Ebhi Salary combined.  Se Staffing Hours tab</t>
        </r>
      </text>
    </comment>
    <comment ref="C123" authorId="0">
      <text>
        <r>
          <rPr>
            <b/>
            <sz val="9"/>
            <color indexed="81"/>
            <rFont val="Calibri"/>
            <family val="2"/>
          </rPr>
          <t>Yfs:</t>
        </r>
        <r>
          <rPr>
            <sz val="9"/>
            <color indexed="81"/>
            <rFont val="Calibri"/>
            <family val="2"/>
          </rPr>
          <t xml:space="preserve">
expenses we incur for metro passes and other tickets PURCHASED. Note when cost of goods go up, it's due to higher demand so REFER to Revenue s well. </t>
        </r>
      </text>
    </comment>
  </commentList>
</comments>
</file>

<file path=xl/comments2.xml><?xml version="1.0" encoding="utf-8"?>
<comments xmlns="http://schemas.openxmlformats.org/spreadsheetml/2006/main">
  <authors>
    <author>Yfs</author>
  </authors>
  <commentList>
    <comment ref="C56" authorId="0">
      <text>
        <r>
          <rPr>
            <b/>
            <sz val="9"/>
            <color indexed="81"/>
            <rFont val="Calibri"/>
            <family val="2"/>
          </rPr>
          <t>Yfs:</t>
        </r>
        <r>
          <rPr>
            <sz val="9"/>
            <color indexed="81"/>
            <rFont val="Calibri"/>
            <family val="2"/>
          </rPr>
          <t xml:space="preserve">
Mithilen's pass</t>
        </r>
      </text>
    </comment>
    <comment ref="E56" authorId="0">
      <text>
        <r>
          <rPr>
            <sz val="12"/>
            <color theme="1"/>
            <rFont val="Calibri"/>
            <family val="2"/>
            <scheme val="minor"/>
          </rPr>
          <t>Yfs:</t>
        </r>
        <r>
          <rPr>
            <sz val="9"/>
            <color indexed="81"/>
            <rFont val="Calibri"/>
            <family val="2"/>
          </rPr>
          <t xml:space="preserve">
Melissa &amp; Mithilen</t>
        </r>
      </text>
    </comment>
    <comment ref="E59" authorId="0">
      <text>
        <r>
          <rPr>
            <b/>
            <sz val="9"/>
            <color indexed="81"/>
            <rFont val="Calibri"/>
            <family val="2"/>
          </rPr>
          <t>Yfs:</t>
        </r>
        <r>
          <rPr>
            <sz val="9"/>
            <color indexed="81"/>
            <rFont val="Calibri"/>
            <family val="2"/>
          </rPr>
          <t xml:space="preserve">
Aaron &amp; Joseph</t>
        </r>
      </text>
    </comment>
    <comment ref="E61" authorId="0">
      <text>
        <r>
          <rPr>
            <b/>
            <sz val="9"/>
            <color indexed="81"/>
            <rFont val="Calibri"/>
            <family val="2"/>
          </rPr>
          <t>Yfs: Renelle &amp; Ebbi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Yfs</author>
  </authors>
  <commentList>
    <comment ref="C56" authorId="0">
      <text>
        <r>
          <rPr>
            <b/>
            <sz val="9"/>
            <color indexed="81"/>
            <rFont val="Calibri"/>
            <family val="2"/>
          </rPr>
          <t>Yfs:</t>
        </r>
        <r>
          <rPr>
            <sz val="9"/>
            <color indexed="81"/>
            <rFont val="Calibri"/>
            <family val="2"/>
          </rPr>
          <t xml:space="preserve">
Mithilen's pass</t>
        </r>
      </text>
    </comment>
    <comment ref="E56" authorId="0">
      <text>
        <r>
          <rPr>
            <sz val="12"/>
            <color theme="1"/>
            <rFont val="Calibri"/>
            <family val="2"/>
            <scheme val="minor"/>
          </rPr>
          <t>Yfs:</t>
        </r>
        <r>
          <rPr>
            <sz val="9"/>
            <color indexed="81"/>
            <rFont val="Calibri"/>
            <family val="2"/>
          </rPr>
          <t xml:space="preserve">
Melissa &amp; Mithilen</t>
        </r>
      </text>
    </comment>
    <comment ref="E59" authorId="0">
      <text>
        <r>
          <rPr>
            <b/>
            <sz val="9"/>
            <color indexed="81"/>
            <rFont val="Calibri"/>
            <family val="2"/>
          </rPr>
          <t>Yfs:</t>
        </r>
        <r>
          <rPr>
            <sz val="9"/>
            <color indexed="81"/>
            <rFont val="Calibri"/>
            <family val="2"/>
          </rPr>
          <t xml:space="preserve">
Aaron &amp; Joseph</t>
        </r>
      </text>
    </comment>
    <comment ref="E61" authorId="0">
      <text>
        <r>
          <rPr>
            <b/>
            <sz val="9"/>
            <color indexed="81"/>
            <rFont val="Calibri"/>
            <family val="2"/>
          </rPr>
          <t>Yfs: Renelle &amp; Ebbi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<sst xmlns="http://schemas.openxmlformats.org/spreadsheetml/2006/main" count="329" uniqueCount="166">
  <si>
    <t>Revenue</t>
  </si>
  <si>
    <t xml:space="preserve">Student Levied Membership Fees </t>
  </si>
  <si>
    <t>Sundry Income (1)</t>
  </si>
  <si>
    <t>Administrative Income</t>
  </si>
  <si>
    <t>Member Services Revenue</t>
  </si>
  <si>
    <t>Renovation Carry Over</t>
  </si>
  <si>
    <t>Expenses</t>
  </si>
  <si>
    <t>Audit &amp; Accounting Fees</t>
  </si>
  <si>
    <t>Communications (2)</t>
  </si>
  <si>
    <t>Donations/Memberships</t>
  </si>
  <si>
    <t>Executive Members' Stipends (3)</t>
  </si>
  <si>
    <t>Programming (4)</t>
  </si>
  <si>
    <t>Conferences (5)</t>
  </si>
  <si>
    <t>CFS General Meetings (6)</t>
  </si>
  <si>
    <t>Campaigns and Equity (7)</t>
  </si>
  <si>
    <t>Computer, Printing and Supplies (8)</t>
  </si>
  <si>
    <t>Legal Fees</t>
  </si>
  <si>
    <t>Benefits</t>
  </si>
  <si>
    <t>Repairs and Maintenance (9)</t>
  </si>
  <si>
    <t>Office Insurance</t>
  </si>
  <si>
    <t>Telephone</t>
  </si>
  <si>
    <t>Sundry</t>
  </si>
  <si>
    <t>Salaries and Wages (10)</t>
  </si>
  <si>
    <t>Member Services (11)</t>
  </si>
  <si>
    <t>Clubs Funding (12)</t>
  </si>
  <si>
    <t>Postage</t>
  </si>
  <si>
    <t>Bad Debt</t>
  </si>
  <si>
    <t>Elections and Referenda</t>
  </si>
  <si>
    <t>RSP Exp</t>
  </si>
  <si>
    <t>CPP Exp</t>
  </si>
  <si>
    <t>EI Exp</t>
  </si>
  <si>
    <t>EHT</t>
  </si>
  <si>
    <t>Bank Charges</t>
  </si>
  <si>
    <t>Commissioner Honouraria</t>
  </si>
  <si>
    <t>Councilor Honouraria</t>
  </si>
  <si>
    <t>Volunteer/Staff Appreciation</t>
  </si>
  <si>
    <t>Accessibility Fund</t>
  </si>
  <si>
    <t>Contingency Reserve</t>
  </si>
  <si>
    <t>Total</t>
  </si>
  <si>
    <t>Total Revenue</t>
  </si>
  <si>
    <t>Total Expenses</t>
  </si>
  <si>
    <r>
      <t>Surplus/</t>
    </r>
    <r>
      <rPr>
        <b/>
        <sz val="10"/>
        <color indexed="10"/>
        <rFont val="Arial"/>
        <family val="2"/>
      </rPr>
      <t>(Deficit)</t>
    </r>
  </si>
  <si>
    <t>Schedule 1 - Sundry Income</t>
  </si>
  <si>
    <t>Imaginus</t>
  </si>
  <si>
    <t>Schedule 2 - Communications</t>
  </si>
  <si>
    <t>Website and E-mail</t>
  </si>
  <si>
    <t>Promotions</t>
  </si>
  <si>
    <t>Schedule 3 - Executive Member Stipends</t>
  </si>
  <si>
    <t>President</t>
  </si>
  <si>
    <t>Vice President Campaigns</t>
  </si>
  <si>
    <t>Vice President Operations</t>
  </si>
  <si>
    <t>Vice President Equity</t>
  </si>
  <si>
    <t>Vice President Campus Life</t>
  </si>
  <si>
    <t>Schedule 4 - Programming</t>
  </si>
  <si>
    <t>Orientation Swag</t>
  </si>
  <si>
    <t>Orientation Week</t>
  </si>
  <si>
    <t>Community Food Kitchen</t>
  </si>
  <si>
    <t>Programming and Communications Coordinator</t>
  </si>
  <si>
    <t>Programming - General</t>
  </si>
  <si>
    <t>Schedule 5  - Conferences</t>
  </si>
  <si>
    <t>Board Retreat</t>
  </si>
  <si>
    <t>Schedule 6 - CFS General Meetings</t>
  </si>
  <si>
    <t>Ontario August</t>
  </si>
  <si>
    <t>Ontario January</t>
  </si>
  <si>
    <t>National May</t>
  </si>
  <si>
    <t>National November</t>
  </si>
  <si>
    <t>Schedule 7 - Campaigns and Equity</t>
  </si>
  <si>
    <t>Access Centre</t>
  </si>
  <si>
    <t>Aboriginal Students Association</t>
  </si>
  <si>
    <t>TBLGAY</t>
  </si>
  <si>
    <t>YUBSA</t>
  </si>
  <si>
    <t>USAY</t>
  </si>
  <si>
    <t>Campaigns and Equity Coordinator</t>
  </si>
  <si>
    <t>CSG Special Project Funding</t>
  </si>
  <si>
    <t>Equity and Human Rights</t>
  </si>
  <si>
    <t>Affordable and Accessible Education</t>
  </si>
  <si>
    <t>Schedule 8  - Computer, Printing and Supplies</t>
  </si>
  <si>
    <t>Computers and Supplies</t>
  </si>
  <si>
    <t>Photocopier (Lease and Printing)</t>
  </si>
  <si>
    <t>Schedule 9 - Repairs and Maintenance</t>
  </si>
  <si>
    <t>Repairs and maintenance</t>
  </si>
  <si>
    <t>Depreciation</t>
  </si>
  <si>
    <t>Schedule 10- Salaries and Wages</t>
  </si>
  <si>
    <t>Wages and Salaries - YFS Office</t>
  </si>
  <si>
    <t>Wages and Salaries - YFS Health Plan</t>
  </si>
  <si>
    <t>Schedule 11 Member Services</t>
  </si>
  <si>
    <t>Student Advocate</t>
  </si>
  <si>
    <t>Members Handbook and Planner</t>
  </si>
  <si>
    <t>Legal</t>
    <phoneticPr fontId="2" type="noConversion"/>
  </si>
  <si>
    <t>Food 4 Thought</t>
  </si>
  <si>
    <t>Occupancy Costs</t>
  </si>
  <si>
    <t>Part-Time Staff Wages</t>
  </si>
  <si>
    <t>Member Services Office Coordinator</t>
  </si>
  <si>
    <t>Cost of goods</t>
  </si>
  <si>
    <t>Renovations</t>
  </si>
  <si>
    <t>Schedule 12 Clubs Funding</t>
  </si>
  <si>
    <t>Club Funding</t>
  </si>
  <si>
    <t>Clubs Services &amp; Outreach Coordinator</t>
  </si>
  <si>
    <t xml:space="preserve">York Federation of Students 2017-2018 Operating Budget </t>
  </si>
  <si>
    <t>2017-2018 Budget</t>
  </si>
  <si>
    <t>Part Time Staff Hours</t>
  </si>
  <si>
    <t>Hours</t>
  </si>
  <si>
    <t>Wages</t>
  </si>
  <si>
    <t xml:space="preserve">Total </t>
  </si>
  <si>
    <t xml:space="preserve">Front Desk </t>
  </si>
  <si>
    <t xml:space="preserve">Member Services </t>
  </si>
  <si>
    <t>Food Bank</t>
  </si>
  <si>
    <t>Summer</t>
  </si>
  <si>
    <t>Fall/Winter</t>
  </si>
  <si>
    <t>Hours/Week</t>
  </si>
  <si>
    <t># of Weeks</t>
  </si>
  <si>
    <t>Hrly Wages</t>
  </si>
  <si>
    <t>CPP</t>
  </si>
  <si>
    <t>EI</t>
  </si>
  <si>
    <t>Vac Pay</t>
  </si>
  <si>
    <t>MSO Supervisor</t>
  </si>
  <si>
    <t>FALL / WINTER</t>
  </si>
  <si>
    <t>MSO</t>
  </si>
  <si>
    <t>Printing</t>
  </si>
  <si>
    <t>Staff 1</t>
  </si>
  <si>
    <t>Staff 2</t>
  </si>
  <si>
    <t>Staff 3</t>
  </si>
  <si>
    <t>Leave Coverage</t>
  </si>
  <si>
    <t>Chenthoori</t>
  </si>
  <si>
    <t>Lisa</t>
  </si>
  <si>
    <t>Gayle</t>
  </si>
  <si>
    <t>Renelle</t>
  </si>
  <si>
    <t>Old wage on leave</t>
  </si>
  <si>
    <t>New wage returning</t>
  </si>
  <si>
    <t>pay periods</t>
  </si>
  <si>
    <t>Salary</t>
  </si>
  <si>
    <t>Gayle?</t>
  </si>
  <si>
    <t>hrs/week</t>
  </si>
  <si>
    <t>hrly wage</t>
  </si>
  <si>
    <t># of commissioners</t>
  </si>
  <si>
    <t>Total Wages</t>
  </si>
  <si>
    <t>Commissioners</t>
  </si>
  <si>
    <t>Gross Salary</t>
  </si>
  <si>
    <t>Staff</t>
  </si>
  <si>
    <t>Parking</t>
  </si>
  <si>
    <t>Metropass</t>
  </si>
  <si>
    <t>H&amp;D</t>
  </si>
  <si>
    <t>RRSP Contribution</t>
  </si>
  <si>
    <t>WSIB</t>
  </si>
  <si>
    <t>Niraj</t>
  </si>
  <si>
    <t>Cecile</t>
  </si>
  <si>
    <t>Mithilen</t>
  </si>
  <si>
    <t>Murtaza</t>
  </si>
  <si>
    <t>Nila</t>
  </si>
  <si>
    <t>Nabil</t>
  </si>
  <si>
    <t>Darshika</t>
  </si>
  <si>
    <t>Executives</t>
  </si>
  <si>
    <t>Cell Phone</t>
  </si>
  <si>
    <t>Rawan</t>
  </si>
  <si>
    <t>Mary</t>
  </si>
  <si>
    <t>Roshni</t>
  </si>
  <si>
    <t>Matthew</t>
  </si>
  <si>
    <t>Gunesh</t>
  </si>
  <si>
    <t>Maximum</t>
  </si>
  <si>
    <t>Communication</t>
  </si>
  <si>
    <t>breakfast</t>
  </si>
  <si>
    <t>lunch</t>
  </si>
  <si>
    <t>dinner</t>
  </si>
  <si>
    <t>food</t>
  </si>
  <si>
    <t>supplies</t>
  </si>
  <si>
    <t>/26 pay periods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</si>
</sst>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??_);_(@_)"/>
    <numFmt numFmtId="165" formatCode="&quot;$&quot;#,##0.00"/>
    <numFmt numFmtId="166" formatCode="#,##0.00_ ;\-#,##0.00\ "/>
    <numFmt numFmtId="167" formatCode="0.000%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Arial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sz val="12"/>
      <color indexed="8"/>
      <name val="Calibri"/>
      <family val="2"/>
    </font>
    <font>
      <sz val="8"/>
      <name val="Calibri"/>
      <family val="2"/>
      <scheme val="minor"/>
    </font>
    <font>
      <sz val="12"/>
      <color theme="1"/>
      <name val="Arial"/>
    </font>
    <font>
      <sz val="8"/>
      <color theme="1"/>
      <name val="Arial"/>
    </font>
    <font>
      <sz val="8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60">
    <xf numFmtId="0" fontId="0" fillId="0" borderId="0" xfId="0"/>
    <xf numFmtId="0" fontId="4" fillId="0" borderId="0" xfId="0" applyFont="1" applyBorder="1"/>
    <xf numFmtId="3" fontId="5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left"/>
    </xf>
    <xf numFmtId="164" fontId="6" fillId="0" borderId="1" xfId="1" applyNumberFormat="1" applyFont="1" applyFill="1" applyBorder="1" applyAlignment="1"/>
    <xf numFmtId="0" fontId="6" fillId="0" borderId="0" xfId="0" applyFont="1" applyBorder="1" applyAlignment="1">
      <alignment horizontal="left"/>
    </xf>
    <xf numFmtId="164" fontId="6" fillId="0" borderId="2" xfId="1" applyNumberFormat="1" applyFont="1" applyFill="1" applyBorder="1" applyAlignment="1"/>
    <xf numFmtId="0" fontId="14" fillId="0" borderId="0" xfId="0" applyFont="1" applyBorder="1"/>
    <xf numFmtId="0" fontId="14" fillId="0" borderId="0" xfId="0" applyFont="1" applyFill="1" applyBorder="1"/>
    <xf numFmtId="0" fontId="9" fillId="0" borderId="0" xfId="0" applyFont="1"/>
    <xf numFmtId="0" fontId="9" fillId="0" borderId="0" xfId="0" applyFont="1" applyBorder="1"/>
    <xf numFmtId="0" fontId="9" fillId="0" borderId="0" xfId="0" applyFont="1" applyFill="1" applyBorder="1"/>
    <xf numFmtId="0" fontId="9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5" fillId="0" borderId="0" xfId="0" applyFont="1" applyBorder="1"/>
    <xf numFmtId="0" fontId="16" fillId="0" borderId="0" xfId="0" applyFont="1"/>
    <xf numFmtId="0" fontId="15" fillId="0" borderId="0" xfId="0" applyFont="1" applyBorder="1" applyAlignment="1">
      <alignment horizontal="right"/>
    </xf>
    <xf numFmtId="0" fontId="14" fillId="0" borderId="0" xfId="0" applyFont="1" applyBorder="1" applyAlignment="1">
      <alignment horizontal="left" indent="1"/>
    </xf>
    <xf numFmtId="0" fontId="0" fillId="0" borderId="1" xfId="0" applyBorder="1" applyAlignment="1">
      <alignment horizontal="center"/>
    </xf>
    <xf numFmtId="0" fontId="0" fillId="0" borderId="1" xfId="0" applyBorder="1"/>
    <xf numFmtId="165" fontId="0" fillId="0" borderId="1" xfId="0" applyNumberFormat="1" applyBorder="1"/>
    <xf numFmtId="8" fontId="0" fillId="0" borderId="0" xfId="0" applyNumberFormat="1"/>
    <xf numFmtId="0" fontId="0" fillId="0" borderId="0" xfId="0" applyAlignment="1">
      <alignment horizontal="center"/>
    </xf>
    <xf numFmtId="44" fontId="1" fillId="0" borderId="0" xfId="2" applyFont="1"/>
    <xf numFmtId="44" fontId="0" fillId="0" borderId="0" xfId="0" applyNumberFormat="1"/>
    <xf numFmtId="0" fontId="0" fillId="0" borderId="5" xfId="0" applyBorder="1" applyAlignment="1">
      <alignment horizontal="center"/>
    </xf>
    <xf numFmtId="44" fontId="0" fillId="0" borderId="5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9" fillId="0" borderId="0" xfId="0" applyFont="1"/>
    <xf numFmtId="166" fontId="1" fillId="0" borderId="0" xfId="2" applyNumberFormat="1" applyFont="1"/>
    <xf numFmtId="165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18" fillId="0" borderId="0" xfId="0" applyFont="1"/>
    <xf numFmtId="9" fontId="1" fillId="0" borderId="0" xfId="3" applyFont="1"/>
    <xf numFmtId="10" fontId="1" fillId="0" borderId="0" xfId="3" applyNumberFormat="1" applyFont="1"/>
    <xf numFmtId="167" fontId="1" fillId="0" borderId="0" xfId="3" applyNumberFormat="1" applyFont="1"/>
    <xf numFmtId="44" fontId="1" fillId="0" borderId="5" xfId="2" applyFont="1" applyBorder="1"/>
    <xf numFmtId="44" fontId="17" fillId="0" borderId="0" xfId="2" applyFont="1"/>
    <xf numFmtId="165" fontId="1" fillId="0" borderId="0" xfId="2" applyNumberFormat="1" applyFont="1"/>
    <xf numFmtId="3" fontId="22" fillId="0" borderId="1" xfId="0" applyNumberFormat="1" applyFont="1" applyFill="1" applyBorder="1"/>
    <xf numFmtId="44" fontId="22" fillId="0" borderId="0" xfId="2" applyFont="1"/>
    <xf numFmtId="0" fontId="3" fillId="0" borderId="0" xfId="0" applyFont="1" applyBorder="1" applyAlignment="1">
      <alignment vertical="center"/>
    </xf>
    <xf numFmtId="0" fontId="22" fillId="0" borderId="0" xfId="0" applyFont="1" applyFill="1"/>
    <xf numFmtId="3" fontId="6" fillId="0" borderId="1" xfId="0" applyNumberFormat="1" applyFont="1" applyFill="1" applyBorder="1"/>
    <xf numFmtId="164" fontId="22" fillId="0" borderId="1" xfId="0" applyNumberFormat="1" applyFont="1" applyFill="1" applyBorder="1"/>
    <xf numFmtId="0" fontId="22" fillId="0" borderId="2" xfId="0" applyFont="1" applyFill="1" applyBorder="1"/>
    <xf numFmtId="3" fontId="22" fillId="0" borderId="3" xfId="0" applyNumberFormat="1" applyFont="1" applyFill="1" applyBorder="1"/>
    <xf numFmtId="3" fontId="6" fillId="0" borderId="2" xfId="0" applyNumberFormat="1" applyFont="1" applyFill="1" applyBorder="1"/>
    <xf numFmtId="3" fontId="22" fillId="0" borderId="4" xfId="0" applyNumberFormat="1" applyFont="1" applyFill="1" applyBorder="1"/>
    <xf numFmtId="3" fontId="6" fillId="0" borderId="2" xfId="0" applyNumberFormat="1" applyFont="1" applyFill="1" applyBorder="1" applyAlignment="1">
      <alignment horizontal="right"/>
    </xf>
    <xf numFmtId="164" fontId="22" fillId="0" borderId="3" xfId="0" applyNumberFormat="1" applyFont="1" applyFill="1" applyBorder="1"/>
    <xf numFmtId="164" fontId="6" fillId="0" borderId="1" xfId="1" applyNumberFormat="1" applyFont="1" applyFill="1" applyBorder="1"/>
    <xf numFmtId="164" fontId="22" fillId="0" borderId="1" xfId="1" applyNumberFormat="1" applyFont="1" applyFill="1" applyBorder="1" applyAlignment="1"/>
  </cellXfs>
  <cellStyles count="8">
    <cellStyle name="Comma" xfId="1" builtinId="3"/>
    <cellStyle name="Currency" xfId="2" builtinId="4"/>
    <cellStyle name="Followed Hyperlink" xfId="5" builtinId="9" hidden="1"/>
    <cellStyle name="Followed Hyperlink" xfId="7" builtinId="9" hidden="1"/>
    <cellStyle name="Hyperlink" xfId="4" builtinId="8" hidden="1"/>
    <cellStyle name="Hyperlink" xfId="6" builtinId="8" hidden="1"/>
    <cellStyle name="Normal" xfId="0" builtinId="0"/>
    <cellStyle name="Percent" xfId="3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55"/>
  <sheetViews>
    <sheetView tabSelected="1" workbookViewId="0">
      <selection activeCell="G89" sqref="G89"/>
    </sheetView>
  </sheetViews>
  <sheetFormatPr baseColWidth="10" defaultRowHeight="15" x14ac:dyDescent="0"/>
  <cols>
    <col min="2" max="2" width="46" customWidth="1"/>
  </cols>
  <sheetData>
    <row r="1" spans="1:3" ht="26" customHeight="1">
      <c r="A1" s="48" t="s">
        <v>98</v>
      </c>
      <c r="B1" s="48"/>
    </row>
    <row r="2" spans="1:3" ht="23">
      <c r="B2" s="1" t="s">
        <v>0</v>
      </c>
      <c r="C2" s="2" t="s">
        <v>99</v>
      </c>
    </row>
    <row r="3" spans="1:3">
      <c r="B3" s="11" t="s">
        <v>1</v>
      </c>
      <c r="C3" s="46">
        <f>1869640+10000</f>
        <v>1879640</v>
      </c>
    </row>
    <row r="4" spans="1:3">
      <c r="B4" s="12" t="s">
        <v>2</v>
      </c>
      <c r="C4" s="46">
        <f>SUM(C53)</f>
        <v>40000</v>
      </c>
    </row>
    <row r="5" spans="1:3">
      <c r="B5" s="12" t="s">
        <v>3</v>
      </c>
      <c r="C5" s="46">
        <v>360000</v>
      </c>
    </row>
    <row r="6" spans="1:3">
      <c r="B6" s="11" t="s">
        <v>4</v>
      </c>
      <c r="C6" s="46">
        <f>855000-20000</f>
        <v>835000</v>
      </c>
    </row>
    <row r="7" spans="1:3">
      <c r="B7" s="12" t="s">
        <v>5</v>
      </c>
      <c r="C7" s="46">
        <v>0</v>
      </c>
    </row>
    <row r="8" spans="1:3">
      <c r="B8" s="21"/>
      <c r="C8" s="46">
        <f>SUM(C3:C7)</f>
        <v>3114640</v>
      </c>
    </row>
    <row r="9" spans="1:3">
      <c r="B9" s="11"/>
      <c r="C9" s="49"/>
    </row>
    <row r="10" spans="1:3">
      <c r="B10" s="1" t="s">
        <v>6</v>
      </c>
      <c r="C10" s="49"/>
    </row>
    <row r="11" spans="1:3">
      <c r="B11" s="12" t="s">
        <v>7</v>
      </c>
      <c r="C11" s="50">
        <v>35000</v>
      </c>
    </row>
    <row r="12" spans="1:3">
      <c r="B12" s="12" t="s">
        <v>8</v>
      </c>
      <c r="C12" s="46">
        <f>SUM(C58)</f>
        <v>9000</v>
      </c>
    </row>
    <row r="13" spans="1:3">
      <c r="B13" s="12" t="s">
        <v>9</v>
      </c>
      <c r="C13" s="50">
        <v>2500</v>
      </c>
    </row>
    <row r="14" spans="1:3">
      <c r="B14" s="3" t="s">
        <v>10</v>
      </c>
      <c r="C14" s="46">
        <f>SUM(C66)</f>
        <v>175255</v>
      </c>
    </row>
    <row r="15" spans="1:3">
      <c r="B15" s="3" t="s">
        <v>11</v>
      </c>
      <c r="C15" s="46">
        <f>SUM(C74)</f>
        <v>369000</v>
      </c>
    </row>
    <row r="16" spans="1:3">
      <c r="B16" s="3" t="s">
        <v>12</v>
      </c>
      <c r="C16" s="46">
        <f>SUM(C78)</f>
        <v>10000</v>
      </c>
    </row>
    <row r="17" spans="2:3">
      <c r="B17" s="3" t="s">
        <v>13</v>
      </c>
      <c r="C17" s="46">
        <f>SUM(C81:C84)</f>
        <v>10863</v>
      </c>
    </row>
    <row r="18" spans="2:3">
      <c r="B18" s="3" t="s">
        <v>14</v>
      </c>
      <c r="C18" s="46">
        <f>SUM(C98)</f>
        <v>259000</v>
      </c>
    </row>
    <row r="19" spans="2:3">
      <c r="B19" s="3" t="s">
        <v>15</v>
      </c>
      <c r="C19" s="46">
        <f>SUM(C103)</f>
        <v>134000</v>
      </c>
    </row>
    <row r="20" spans="2:3">
      <c r="B20" s="12" t="s">
        <v>16</v>
      </c>
      <c r="C20" s="50">
        <v>30000</v>
      </c>
    </row>
    <row r="21" spans="2:3">
      <c r="B21" s="12" t="s">
        <v>17</v>
      </c>
      <c r="C21" s="50">
        <f>8906.72+10197.12+3962+25107+7778.28</f>
        <v>55951.119999999995</v>
      </c>
    </row>
    <row r="22" spans="2:3">
      <c r="B22" s="3" t="s">
        <v>18</v>
      </c>
      <c r="C22" s="46">
        <f>SUM(C108)</f>
        <v>47500</v>
      </c>
    </row>
    <row r="23" spans="2:3">
      <c r="B23" s="12" t="s">
        <v>19</v>
      </c>
      <c r="C23" s="50">
        <v>13000</v>
      </c>
    </row>
    <row r="24" spans="2:3">
      <c r="B24" s="12" t="s">
        <v>20</v>
      </c>
      <c r="C24" s="50">
        <v>23000</v>
      </c>
    </row>
    <row r="25" spans="2:3">
      <c r="B25" s="12" t="s">
        <v>21</v>
      </c>
      <c r="C25" s="50">
        <v>10000</v>
      </c>
    </row>
    <row r="26" spans="2:3">
      <c r="B26" s="3" t="s">
        <v>22</v>
      </c>
      <c r="C26" s="46">
        <f>SUM(C113)</f>
        <v>325959.58000000007</v>
      </c>
    </row>
    <row r="27" spans="2:3">
      <c r="B27" s="3" t="s">
        <v>23</v>
      </c>
      <c r="C27" s="51">
        <f>SUM(C125)</f>
        <v>1104558</v>
      </c>
    </row>
    <row r="28" spans="2:3">
      <c r="B28" s="3" t="s">
        <v>24</v>
      </c>
      <c r="C28" s="51">
        <f>SUM(C130)</f>
        <v>298500</v>
      </c>
    </row>
    <row r="29" spans="2:3">
      <c r="B29" s="12" t="s">
        <v>25</v>
      </c>
      <c r="C29" s="50">
        <v>2500</v>
      </c>
    </row>
    <row r="30" spans="2:3">
      <c r="B30" s="12" t="s">
        <v>26</v>
      </c>
      <c r="C30" s="50">
        <v>0</v>
      </c>
    </row>
    <row r="31" spans="2:3">
      <c r="B31" s="12" t="s">
        <v>27</v>
      </c>
      <c r="C31" s="50">
        <v>35000</v>
      </c>
    </row>
    <row r="32" spans="2:3">
      <c r="B32" s="12" t="s">
        <v>28</v>
      </c>
      <c r="C32" s="50">
        <v>28488.5</v>
      </c>
    </row>
    <row r="33" spans="2:3">
      <c r="B33" s="12" t="s">
        <v>29</v>
      </c>
      <c r="C33" s="50">
        <f>11022.07+23107.5+7646.6</f>
        <v>41776.17</v>
      </c>
    </row>
    <row r="34" spans="2:3">
      <c r="B34" s="12" t="s">
        <v>30</v>
      </c>
      <c r="C34" s="50">
        <f>5860.62+8594.82+4533.1</f>
        <v>18988.54</v>
      </c>
    </row>
    <row r="35" spans="2:3">
      <c r="B35" s="12" t="s">
        <v>31</v>
      </c>
      <c r="C35" s="50">
        <v>13000</v>
      </c>
    </row>
    <row r="36" spans="2:3">
      <c r="B36" s="3" t="s">
        <v>32</v>
      </c>
      <c r="C36" s="50">
        <v>8000</v>
      </c>
    </row>
    <row r="37" spans="2:3">
      <c r="B37" s="12" t="s">
        <v>33</v>
      </c>
      <c r="C37" s="50">
        <v>25000</v>
      </c>
    </row>
    <row r="38" spans="2:3">
      <c r="B38" s="12" t="s">
        <v>34</v>
      </c>
      <c r="C38" s="46">
        <v>17000</v>
      </c>
    </row>
    <row r="39" spans="2:3">
      <c r="B39" s="3" t="s">
        <v>35</v>
      </c>
      <c r="C39" s="50">
        <v>1500</v>
      </c>
    </row>
    <row r="40" spans="2:3">
      <c r="B40" s="12" t="s">
        <v>36</v>
      </c>
      <c r="C40" s="50">
        <v>1500</v>
      </c>
    </row>
    <row r="41" spans="2:3" ht="16" thickBot="1">
      <c r="B41" s="3" t="s">
        <v>37</v>
      </c>
      <c r="C41" s="52">
        <v>0</v>
      </c>
    </row>
    <row r="42" spans="2:3" ht="16" thickBot="1">
      <c r="B42" s="4" t="s">
        <v>38</v>
      </c>
      <c r="C42" s="53">
        <f>SUM(C11:C41)</f>
        <v>3105839.91</v>
      </c>
    </row>
    <row r="43" spans="2:3" s="19" customFormat="1" ht="16" thickBot="1">
      <c r="B43" s="18"/>
      <c r="C43" s="49"/>
    </row>
    <row r="44" spans="2:3" ht="16" thickBot="1">
      <c r="B44" s="4" t="s">
        <v>39</v>
      </c>
      <c r="C44" s="53">
        <f>SUM(C8)</f>
        <v>3114640</v>
      </c>
    </row>
    <row r="45" spans="2:3" s="19" customFormat="1" ht="16" thickBot="1">
      <c r="B45" s="20"/>
      <c r="C45" s="49"/>
    </row>
    <row r="46" spans="2:3" ht="16" thickBot="1">
      <c r="B46" s="5" t="s">
        <v>40</v>
      </c>
      <c r="C46" s="53">
        <f>SUM(C42)</f>
        <v>3105839.91</v>
      </c>
    </row>
    <row r="47" spans="2:3" s="19" customFormat="1" ht="16" thickBot="1">
      <c r="B47" s="20"/>
      <c r="C47" s="49"/>
    </row>
    <row r="48" spans="2:3" ht="16" thickBot="1">
      <c r="B48" s="5" t="s">
        <v>41</v>
      </c>
      <c r="C48" s="53">
        <f>SUM(C44-C46)</f>
        <v>8800.089999999851</v>
      </c>
    </row>
    <row r="49" spans="2:3">
      <c r="B49" s="5"/>
      <c r="C49" s="49"/>
    </row>
    <row r="50" spans="2:3">
      <c r="B50" s="6" t="s">
        <v>42</v>
      </c>
      <c r="C50" s="49"/>
    </row>
    <row r="51" spans="2:3">
      <c r="B51" s="14" t="s">
        <v>21</v>
      </c>
      <c r="C51" s="50">
        <v>20000</v>
      </c>
    </row>
    <row r="52" spans="2:3" ht="16" thickBot="1">
      <c r="B52" s="14" t="s">
        <v>43</v>
      </c>
      <c r="C52" s="54">
        <v>20000</v>
      </c>
    </row>
    <row r="53" spans="2:3" ht="16" thickBot="1">
      <c r="B53" s="5" t="s">
        <v>38</v>
      </c>
      <c r="C53" s="53">
        <f>SUM(C51:C52)</f>
        <v>40000</v>
      </c>
    </row>
    <row r="54" spans="2:3">
      <c r="B54" s="5"/>
      <c r="C54" s="49"/>
    </row>
    <row r="55" spans="2:3">
      <c r="B55" s="6" t="s">
        <v>44</v>
      </c>
      <c r="C55" s="49"/>
    </row>
    <row r="56" spans="2:3">
      <c r="B56" s="14" t="s">
        <v>45</v>
      </c>
      <c r="C56" s="46">
        <v>4000</v>
      </c>
    </row>
    <row r="57" spans="2:3" ht="16" thickBot="1">
      <c r="B57" s="15" t="s">
        <v>46</v>
      </c>
      <c r="C57" s="54">
        <v>5000</v>
      </c>
    </row>
    <row r="58" spans="2:3" ht="16" thickBot="1">
      <c r="B58" s="5" t="s">
        <v>38</v>
      </c>
      <c r="C58" s="53">
        <f>SUM(C56:C57)</f>
        <v>9000</v>
      </c>
    </row>
    <row r="59" spans="2:3">
      <c r="B59" s="14"/>
      <c r="C59" s="49"/>
    </row>
    <row r="60" spans="2:3">
      <c r="B60" s="6" t="s">
        <v>47</v>
      </c>
      <c r="C60" s="49"/>
    </row>
    <row r="61" spans="2:3">
      <c r="B61" s="14" t="s">
        <v>48</v>
      </c>
      <c r="C61" s="50">
        <v>35051</v>
      </c>
    </row>
    <row r="62" spans="2:3">
      <c r="B62" s="14" t="s">
        <v>49</v>
      </c>
      <c r="C62" s="50">
        <v>35051</v>
      </c>
    </row>
    <row r="63" spans="2:3">
      <c r="B63" s="14" t="s">
        <v>50</v>
      </c>
      <c r="C63" s="50">
        <v>35051</v>
      </c>
    </row>
    <row r="64" spans="2:3">
      <c r="B64" s="14" t="s">
        <v>51</v>
      </c>
      <c r="C64" s="50">
        <v>35051</v>
      </c>
    </row>
    <row r="65" spans="2:3" ht="16" thickBot="1">
      <c r="B65" s="14" t="s">
        <v>52</v>
      </c>
      <c r="C65" s="50">
        <v>35051</v>
      </c>
    </row>
    <row r="66" spans="2:3" ht="16" thickBot="1">
      <c r="B66" s="5" t="s">
        <v>38</v>
      </c>
      <c r="C66" s="53">
        <f>SUM(C61:C65)</f>
        <v>175255</v>
      </c>
    </row>
    <row r="67" spans="2:3">
      <c r="B67" s="14"/>
      <c r="C67" s="49"/>
    </row>
    <row r="68" spans="2:3">
      <c r="B68" s="6" t="s">
        <v>53</v>
      </c>
      <c r="C68" s="49"/>
    </row>
    <row r="69" spans="2:3">
      <c r="B69" s="15" t="s">
        <v>54</v>
      </c>
      <c r="C69" s="50">
        <v>122000</v>
      </c>
    </row>
    <row r="70" spans="2:3">
      <c r="B70" s="15" t="s">
        <v>55</v>
      </c>
      <c r="C70" s="50">
        <v>115000</v>
      </c>
    </row>
    <row r="71" spans="2:3">
      <c r="B71" s="15" t="s">
        <v>56</v>
      </c>
      <c r="C71" s="50">
        <v>2000</v>
      </c>
    </row>
    <row r="72" spans="2:3">
      <c r="B72" s="15" t="s">
        <v>57</v>
      </c>
      <c r="C72" s="50">
        <v>25000</v>
      </c>
    </row>
    <row r="73" spans="2:3" ht="16" thickBot="1">
      <c r="B73" s="15" t="s">
        <v>58</v>
      </c>
      <c r="C73" s="54">
        <v>105000</v>
      </c>
    </row>
    <row r="74" spans="2:3" ht="16" thickBot="1">
      <c r="B74" s="4" t="s">
        <v>38</v>
      </c>
      <c r="C74" s="53">
        <f>SUM(C69:C73)</f>
        <v>369000</v>
      </c>
    </row>
    <row r="75" spans="2:3">
      <c r="B75" s="14"/>
      <c r="C75" s="49"/>
    </row>
    <row r="76" spans="2:3">
      <c r="B76" s="6" t="s">
        <v>59</v>
      </c>
      <c r="C76" s="49"/>
    </row>
    <row r="77" spans="2:3" ht="16" thickBot="1">
      <c r="B77" s="14" t="s">
        <v>60</v>
      </c>
      <c r="C77" s="54">
        <v>10000</v>
      </c>
    </row>
    <row r="78" spans="2:3" ht="16" thickBot="1">
      <c r="B78" s="5" t="s">
        <v>38</v>
      </c>
      <c r="C78" s="55">
        <f>C77</f>
        <v>10000</v>
      </c>
    </row>
    <row r="79" spans="2:3">
      <c r="B79" s="14"/>
      <c r="C79" s="49"/>
    </row>
    <row r="80" spans="2:3">
      <c r="B80" s="6" t="s">
        <v>61</v>
      </c>
      <c r="C80" s="49"/>
    </row>
    <row r="81" spans="2:3">
      <c r="B81" s="14" t="s">
        <v>62</v>
      </c>
      <c r="C81" s="50">
        <v>2400</v>
      </c>
    </row>
    <row r="82" spans="2:3">
      <c r="B82" s="14" t="s">
        <v>63</v>
      </c>
      <c r="C82" s="50">
        <v>1500</v>
      </c>
    </row>
    <row r="83" spans="2:3">
      <c r="B83" s="14" t="s">
        <v>64</v>
      </c>
      <c r="C83" s="50">
        <v>3463</v>
      </c>
    </row>
    <row r="84" spans="2:3" ht="16" thickBot="1">
      <c r="B84" s="14" t="s">
        <v>65</v>
      </c>
      <c r="C84" s="54">
        <v>3500</v>
      </c>
    </row>
    <row r="85" spans="2:3" ht="16" thickBot="1">
      <c r="B85" s="5" t="s">
        <v>38</v>
      </c>
      <c r="C85" s="53">
        <f>SUM(C81:C84)</f>
        <v>10863</v>
      </c>
    </row>
    <row r="86" spans="2:3">
      <c r="B86" s="5"/>
      <c r="C86" s="49"/>
    </row>
    <row r="87" spans="2:3">
      <c r="B87" s="14"/>
      <c r="C87" s="49"/>
    </row>
    <row r="88" spans="2:3">
      <c r="B88" s="6" t="s">
        <v>66</v>
      </c>
      <c r="C88" s="49"/>
    </row>
    <row r="89" spans="2:3">
      <c r="B89" s="14" t="s">
        <v>67</v>
      </c>
      <c r="C89" s="50">
        <v>30000</v>
      </c>
    </row>
    <row r="90" spans="2:3">
      <c r="B90" s="14" t="s">
        <v>68</v>
      </c>
      <c r="C90" s="50">
        <v>30000</v>
      </c>
    </row>
    <row r="91" spans="2:3">
      <c r="B91" s="14" t="s">
        <v>69</v>
      </c>
      <c r="C91" s="50">
        <v>30000</v>
      </c>
    </row>
    <row r="92" spans="2:3">
      <c r="B92" s="14" t="s">
        <v>70</v>
      </c>
      <c r="C92" s="50">
        <v>30000</v>
      </c>
    </row>
    <row r="93" spans="2:3">
      <c r="B93" s="14" t="s">
        <v>71</v>
      </c>
      <c r="C93" s="50">
        <v>30000</v>
      </c>
    </row>
    <row r="94" spans="2:3">
      <c r="B94" s="14" t="s">
        <v>72</v>
      </c>
      <c r="C94" s="50">
        <v>24000</v>
      </c>
    </row>
    <row r="95" spans="2:3">
      <c r="B95" s="15" t="s">
        <v>73</v>
      </c>
      <c r="C95" s="50">
        <v>5000</v>
      </c>
    </row>
    <row r="96" spans="2:3">
      <c r="B96" s="15" t="s">
        <v>74</v>
      </c>
      <c r="C96" s="50">
        <v>50000</v>
      </c>
    </row>
    <row r="97" spans="2:3" ht="16" thickBot="1">
      <c r="B97" s="15" t="s">
        <v>75</v>
      </c>
      <c r="C97" s="54">
        <v>30000</v>
      </c>
    </row>
    <row r="98" spans="2:3" ht="16" thickBot="1">
      <c r="B98" s="4" t="s">
        <v>38</v>
      </c>
      <c r="C98" s="53">
        <f>SUM(C89:C97)</f>
        <v>259000</v>
      </c>
    </row>
    <row r="99" spans="2:3">
      <c r="B99" s="14"/>
      <c r="C99" s="49"/>
    </row>
    <row r="100" spans="2:3">
      <c r="B100" s="6" t="s">
        <v>76</v>
      </c>
      <c r="C100" s="49"/>
    </row>
    <row r="101" spans="2:3">
      <c r="B101" s="14" t="s">
        <v>77</v>
      </c>
      <c r="C101" s="50">
        <v>14000</v>
      </c>
    </row>
    <row r="102" spans="2:3" ht="16" thickBot="1">
      <c r="B102" s="14" t="s">
        <v>78</v>
      </c>
      <c r="C102" s="54">
        <v>120000</v>
      </c>
    </row>
    <row r="103" spans="2:3" ht="16" thickBot="1">
      <c r="B103" s="5" t="s">
        <v>38</v>
      </c>
      <c r="C103" s="53">
        <f>SUM(C101:C102)</f>
        <v>134000</v>
      </c>
    </row>
    <row r="104" spans="2:3">
      <c r="B104" s="14"/>
      <c r="C104" s="49"/>
    </row>
    <row r="105" spans="2:3">
      <c r="B105" s="6" t="s">
        <v>79</v>
      </c>
      <c r="C105" s="49"/>
    </row>
    <row r="106" spans="2:3">
      <c r="B106" s="14" t="s">
        <v>80</v>
      </c>
      <c r="C106" s="50">
        <v>7500</v>
      </c>
    </row>
    <row r="107" spans="2:3" ht="16" thickBot="1">
      <c r="B107" s="14" t="s">
        <v>81</v>
      </c>
      <c r="C107" s="54">
        <v>40000</v>
      </c>
    </row>
    <row r="108" spans="2:3" ht="16" thickBot="1">
      <c r="B108" s="5" t="s">
        <v>38</v>
      </c>
      <c r="C108" s="53">
        <f>SUM(C106:C107)</f>
        <v>47500</v>
      </c>
    </row>
    <row r="109" spans="2:3">
      <c r="B109" s="14"/>
      <c r="C109" s="49"/>
    </row>
    <row r="110" spans="2:3">
      <c r="B110" s="6" t="s">
        <v>82</v>
      </c>
      <c r="C110" s="49"/>
    </row>
    <row r="111" spans="2:3">
      <c r="B111" s="14" t="s">
        <v>83</v>
      </c>
      <c r="C111" s="50">
        <f>(61534.2-C72)+(47149.96-C94)+(88986.56-C116)+(49778.56-C129)+59863.69+53479.51+(45999.98-C112)+83739.96+(51427.16-C122)</f>
        <v>277959.58000000007</v>
      </c>
    </row>
    <row r="112" spans="2:3" ht="16" thickBot="1">
      <c r="B112" s="14" t="s">
        <v>84</v>
      </c>
      <c r="C112" s="56">
        <f>49743.2-1743.2</f>
        <v>48000</v>
      </c>
    </row>
    <row r="113" spans="2:3" ht="16" thickBot="1">
      <c r="B113" s="5" t="s">
        <v>38</v>
      </c>
      <c r="C113" s="53">
        <f>SUM(C111:C112)</f>
        <v>325959.58000000007</v>
      </c>
    </row>
    <row r="114" spans="2:3">
      <c r="B114" s="5"/>
      <c r="C114" s="49"/>
    </row>
    <row r="115" spans="2:3">
      <c r="B115" s="7" t="s">
        <v>85</v>
      </c>
      <c r="C115" s="49"/>
    </row>
    <row r="116" spans="2:3">
      <c r="B116" s="14" t="s">
        <v>86</v>
      </c>
      <c r="C116" s="8">
        <v>75000</v>
      </c>
    </row>
    <row r="117" spans="2:3">
      <c r="B117" s="14" t="s">
        <v>87</v>
      </c>
      <c r="C117" s="8">
        <f>44183-33125</f>
        <v>11058</v>
      </c>
    </row>
    <row r="118" spans="2:3">
      <c r="B118" s="14" t="s">
        <v>88</v>
      </c>
      <c r="C118" s="8">
        <v>20000</v>
      </c>
    </row>
    <row r="119" spans="2:3">
      <c r="B119" s="14" t="s">
        <v>89</v>
      </c>
      <c r="C119" s="8">
        <v>30000</v>
      </c>
    </row>
    <row r="120" spans="2:3">
      <c r="B120" s="16" t="s">
        <v>90</v>
      </c>
      <c r="C120" s="8">
        <v>15000</v>
      </c>
    </row>
    <row r="121" spans="2:3">
      <c r="B121" s="16" t="s">
        <v>91</v>
      </c>
      <c r="C121" s="8">
        <v>160000</v>
      </c>
    </row>
    <row r="122" spans="2:3">
      <c r="B122" s="17" t="s">
        <v>92</v>
      </c>
      <c r="C122" s="8">
        <v>63500</v>
      </c>
    </row>
    <row r="123" spans="2:3">
      <c r="B123" s="9" t="s">
        <v>93</v>
      </c>
      <c r="C123" s="58">
        <v>730000</v>
      </c>
    </row>
    <row r="124" spans="2:3" ht="16" thickBot="1">
      <c r="B124" s="9" t="s">
        <v>94</v>
      </c>
      <c r="C124" s="10"/>
    </row>
    <row r="125" spans="2:3" ht="16" thickBot="1">
      <c r="B125" s="5" t="s">
        <v>38</v>
      </c>
      <c r="C125" s="57">
        <f>SUM(C116:C124)</f>
        <v>1104558</v>
      </c>
    </row>
    <row r="126" spans="2:3">
      <c r="B126" s="5"/>
      <c r="C126" s="49"/>
    </row>
    <row r="127" spans="2:3">
      <c r="B127" s="7" t="s">
        <v>95</v>
      </c>
      <c r="C127" s="49"/>
    </row>
    <row r="128" spans="2:3">
      <c r="B128" s="9" t="s">
        <v>96</v>
      </c>
      <c r="C128" s="59">
        <v>270000</v>
      </c>
    </row>
    <row r="129" spans="2:3" ht="16" thickBot="1">
      <c r="B129" s="16" t="s">
        <v>97</v>
      </c>
      <c r="C129" s="10">
        <v>28500</v>
      </c>
    </row>
    <row r="130" spans="2:3" ht="16" thickBot="1">
      <c r="B130" s="5" t="s">
        <v>38</v>
      </c>
      <c r="C130" s="57">
        <f>SUM(C128:C129)</f>
        <v>298500</v>
      </c>
    </row>
    <row r="131" spans="2:3">
      <c r="B131" s="13"/>
    </row>
    <row r="132" spans="2:3">
      <c r="B132" s="13"/>
    </row>
    <row r="133" spans="2:3">
      <c r="B133" s="13"/>
    </row>
    <row r="134" spans="2:3">
      <c r="B134" s="13"/>
    </row>
    <row r="135" spans="2:3">
      <c r="B135" s="13"/>
    </row>
    <row r="136" spans="2:3">
      <c r="B136" s="13"/>
    </row>
    <row r="137" spans="2:3">
      <c r="B137" s="13"/>
    </row>
    <row r="138" spans="2:3">
      <c r="B138" s="13"/>
    </row>
    <row r="139" spans="2:3">
      <c r="B139" s="13"/>
    </row>
    <row r="140" spans="2:3">
      <c r="B140" s="13"/>
    </row>
    <row r="141" spans="2:3">
      <c r="B141" s="13"/>
    </row>
    <row r="142" spans="2:3">
      <c r="B142" s="13"/>
    </row>
    <row r="143" spans="2:3">
      <c r="B143" s="13"/>
    </row>
    <row r="144" spans="2:3">
      <c r="B144" s="13"/>
    </row>
    <row r="145" spans="2:2">
      <c r="B145" s="13"/>
    </row>
    <row r="146" spans="2:2">
      <c r="B146" s="13"/>
    </row>
    <row r="147" spans="2:2">
      <c r="B147" s="13"/>
    </row>
    <row r="148" spans="2:2">
      <c r="B148" s="13"/>
    </row>
    <row r="149" spans="2:2">
      <c r="B149" s="13"/>
    </row>
    <row r="150" spans="2:2">
      <c r="B150" s="13"/>
    </row>
    <row r="151" spans="2:2">
      <c r="B151" s="13"/>
    </row>
    <row r="152" spans="2:2">
      <c r="B152" s="13"/>
    </row>
    <row r="153" spans="2:2">
      <c r="B153" s="13"/>
    </row>
    <row r="154" spans="2:2">
      <c r="B154" s="13"/>
    </row>
    <row r="155" spans="2:2">
      <c r="B155" s="13"/>
    </row>
  </sheetData>
  <phoneticPr fontId="13" type="noConversion"/>
  <pageMargins left="0.75000000000000011" right="0.75000000000000011" top="0" bottom="0" header="0" footer="0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5"/>
  <sheetViews>
    <sheetView topLeftCell="A23" workbookViewId="0">
      <selection activeCell="B56" sqref="B56"/>
    </sheetView>
  </sheetViews>
  <sheetFormatPr baseColWidth="10" defaultRowHeight="15" x14ac:dyDescent="0"/>
  <cols>
    <col min="1" max="1" width="13.6640625" bestFit="1" customWidth="1"/>
    <col min="2" max="2" width="14.1640625" bestFit="1" customWidth="1"/>
    <col min="3" max="3" width="11.5" bestFit="1" customWidth="1"/>
    <col min="4" max="4" width="12.5" customWidth="1"/>
    <col min="5" max="5" width="12.83203125" bestFit="1" customWidth="1"/>
    <col min="6" max="6" width="16.1640625" bestFit="1" customWidth="1"/>
    <col min="7" max="7" width="12.1640625" bestFit="1" customWidth="1"/>
    <col min="8" max="9" width="11.5" bestFit="1" customWidth="1"/>
  </cols>
  <sheetData>
    <row r="1" spans="1:11">
      <c r="A1" s="22" t="s">
        <v>100</v>
      </c>
      <c r="B1" s="22"/>
      <c r="C1" s="23" t="s">
        <v>101</v>
      </c>
      <c r="D1" s="23" t="s">
        <v>102</v>
      </c>
      <c r="E1" s="23" t="s">
        <v>103</v>
      </c>
    </row>
    <row r="2" spans="1:11">
      <c r="A2" s="22" t="s">
        <v>104</v>
      </c>
      <c r="B2" s="22"/>
      <c r="C2" s="23">
        <f>100+(11*160)</f>
        <v>1860</v>
      </c>
      <c r="D2" s="24">
        <v>15</v>
      </c>
      <c r="E2" s="24">
        <f>D2*C2</f>
        <v>27900</v>
      </c>
    </row>
    <row r="3" spans="1:11">
      <c r="A3" s="22" t="s">
        <v>105</v>
      </c>
      <c r="B3" s="22"/>
    </row>
    <row r="4" spans="1:11">
      <c r="A4" s="22" t="s">
        <v>106</v>
      </c>
      <c r="B4" s="22"/>
      <c r="C4">
        <f>1560+720</f>
        <v>2280</v>
      </c>
    </row>
    <row r="5" spans="1:11">
      <c r="A5" s="22" t="s">
        <v>86</v>
      </c>
      <c r="B5" s="22"/>
      <c r="C5">
        <f>(24*30)+(20*16)</f>
        <v>1040</v>
      </c>
      <c r="D5" s="25">
        <v>15</v>
      </c>
      <c r="E5" s="25">
        <f>D5*C5</f>
        <v>15600</v>
      </c>
    </row>
    <row r="14" spans="1:11">
      <c r="C14" s="26" t="s">
        <v>107</v>
      </c>
      <c r="D14" s="26"/>
      <c r="E14" s="26" t="s">
        <v>108</v>
      </c>
      <c r="F14" s="26"/>
    </row>
    <row r="15" spans="1:11">
      <c r="A15" s="22" t="s">
        <v>100</v>
      </c>
      <c r="B15" s="22"/>
      <c r="C15" t="s">
        <v>109</v>
      </c>
      <c r="D15" t="s">
        <v>110</v>
      </c>
      <c r="E15" t="s">
        <v>109</v>
      </c>
      <c r="F15" t="s">
        <v>110</v>
      </c>
      <c r="G15" t="s">
        <v>111</v>
      </c>
      <c r="H15" t="s">
        <v>38</v>
      </c>
      <c r="I15" t="s">
        <v>112</v>
      </c>
      <c r="J15" t="s">
        <v>113</v>
      </c>
      <c r="K15" t="s">
        <v>114</v>
      </c>
    </row>
    <row r="16" spans="1:11">
      <c r="A16" s="22" t="s">
        <v>104</v>
      </c>
      <c r="B16" s="22"/>
      <c r="C16">
        <v>40</v>
      </c>
      <c r="D16">
        <v>18</v>
      </c>
      <c r="E16">
        <v>40</v>
      </c>
      <c r="F16">
        <v>34</v>
      </c>
      <c r="G16">
        <v>15</v>
      </c>
      <c r="H16" s="27">
        <f>((F16*E16)+(C16*D16))*G16</f>
        <v>31200</v>
      </c>
      <c r="I16" s="28">
        <f>H16*L$53</f>
        <v>1544.4</v>
      </c>
      <c r="J16" s="28">
        <f>H16*M$53</f>
        <v>821.18399999999997</v>
      </c>
      <c r="K16" s="28">
        <f>H16*0.04</f>
        <v>1248</v>
      </c>
    </row>
    <row r="17" spans="1:11">
      <c r="A17" s="22" t="s">
        <v>105</v>
      </c>
      <c r="B17" s="22"/>
      <c r="C17">
        <v>81</v>
      </c>
      <c r="D17">
        <v>18</v>
      </c>
      <c r="E17">
        <v>152.5</v>
      </c>
      <c r="F17">
        <v>34</v>
      </c>
      <c r="G17">
        <v>15</v>
      </c>
      <c r="H17" s="27">
        <f>((F17*E17)+(C17*D17))*G17</f>
        <v>99645</v>
      </c>
      <c r="I17" s="28">
        <f>H17*L$53</f>
        <v>4932.4274999999998</v>
      </c>
      <c r="J17" s="28">
        <f>H17*M$53</f>
        <v>2622.6563999999998</v>
      </c>
      <c r="K17" s="28">
        <f>H17*0.04</f>
        <v>3985.8</v>
      </c>
    </row>
    <row r="18" spans="1:11">
      <c r="A18" s="22" t="s">
        <v>106</v>
      </c>
      <c r="B18" s="22"/>
      <c r="C18">
        <v>45</v>
      </c>
      <c r="D18">
        <v>18</v>
      </c>
      <c r="E18">
        <v>52</v>
      </c>
      <c r="F18">
        <v>34</v>
      </c>
      <c r="G18">
        <v>15</v>
      </c>
      <c r="H18" s="27">
        <f>((F18*E18)+(C18*D18))*G18</f>
        <v>38670</v>
      </c>
      <c r="I18" s="28">
        <f>H18*L$53</f>
        <v>1914.1650000000002</v>
      </c>
      <c r="J18" s="28">
        <f>H18*M$53</f>
        <v>1017.7944</v>
      </c>
      <c r="K18" s="28">
        <f>H18*0.04</f>
        <v>1546.8</v>
      </c>
    </row>
    <row r="19" spans="1:11">
      <c r="A19" s="22" t="s">
        <v>86</v>
      </c>
      <c r="B19" s="22"/>
      <c r="C19">
        <v>20</v>
      </c>
      <c r="D19">
        <v>18</v>
      </c>
      <c r="E19">
        <v>24</v>
      </c>
      <c r="F19">
        <v>34</v>
      </c>
      <c r="G19">
        <v>15</v>
      </c>
      <c r="H19" s="27">
        <f>((F19*E19)+(C19*D19))*G19</f>
        <v>17640</v>
      </c>
      <c r="I19" s="28">
        <f>H19*L$53</f>
        <v>873.18000000000006</v>
      </c>
      <c r="J19" s="28">
        <f>H19*M$53</f>
        <v>464.28480000000002</v>
      </c>
      <c r="K19" s="28">
        <f>H19*0.04</f>
        <v>705.6</v>
      </c>
    </row>
    <row r="20" spans="1:11">
      <c r="A20" s="29" t="s">
        <v>115</v>
      </c>
      <c r="B20" s="29"/>
      <c r="C20">
        <v>40.5</v>
      </c>
      <c r="D20">
        <v>18</v>
      </c>
      <c r="E20">
        <v>40</v>
      </c>
      <c r="F20">
        <v>34</v>
      </c>
      <c r="G20">
        <v>17</v>
      </c>
      <c r="H20" s="27">
        <f>((F20*E20)+(C20*D20))*G20</f>
        <v>35513</v>
      </c>
      <c r="I20" s="28">
        <f>H20*L$53</f>
        <v>1757.8935000000001</v>
      </c>
      <c r="J20" s="28">
        <f>H20*M$53</f>
        <v>934.70215999999994</v>
      </c>
      <c r="K20" s="28">
        <f>H20*0.04</f>
        <v>1420.52</v>
      </c>
    </row>
    <row r="21" spans="1:11">
      <c r="I21" s="30">
        <f>SUM(I16:I20)</f>
        <v>11022.066000000001</v>
      </c>
      <c r="J21" s="30">
        <f>SUM(J16:J20)</f>
        <v>5860.62176</v>
      </c>
      <c r="K21" s="30">
        <f>SUM(K16:K20)</f>
        <v>8906.7200000000012</v>
      </c>
    </row>
    <row r="24" spans="1:11">
      <c r="A24" s="31" t="s">
        <v>116</v>
      </c>
      <c r="B24" s="32"/>
      <c r="C24" s="32"/>
      <c r="D24" s="32"/>
      <c r="E24" s="32"/>
      <c r="F24" s="33"/>
    </row>
    <row r="25" spans="1:11">
      <c r="A25" s="22" t="s">
        <v>117</v>
      </c>
      <c r="B25" s="22"/>
      <c r="C25" s="22"/>
      <c r="D25" s="22" t="s">
        <v>118</v>
      </c>
      <c r="E25" s="22"/>
      <c r="F25" s="22"/>
    </row>
    <row r="26" spans="1:11">
      <c r="A26" s="23" t="s">
        <v>119</v>
      </c>
      <c r="B26" s="23" t="s">
        <v>120</v>
      </c>
      <c r="C26" s="23" t="s">
        <v>121</v>
      </c>
      <c r="D26" s="23" t="s">
        <v>119</v>
      </c>
      <c r="E26" s="23" t="s">
        <v>120</v>
      </c>
      <c r="F26" s="23" t="s">
        <v>121</v>
      </c>
    </row>
    <row r="27" spans="1:11">
      <c r="A27" s="23">
        <v>5.5</v>
      </c>
      <c r="B27" s="23">
        <v>5</v>
      </c>
      <c r="C27" s="23">
        <v>5</v>
      </c>
      <c r="D27" s="23">
        <v>5</v>
      </c>
      <c r="E27" s="23">
        <v>5</v>
      </c>
      <c r="F27" s="23">
        <v>5</v>
      </c>
    </row>
    <row r="28" spans="1:11">
      <c r="A28" s="31">
        <v>15.5</v>
      </c>
      <c r="B28" s="32"/>
      <c r="C28" s="33"/>
      <c r="D28" s="31">
        <v>15</v>
      </c>
      <c r="E28" s="32"/>
      <c r="F28" s="33"/>
      <c r="G28" t="s">
        <v>38</v>
      </c>
    </row>
    <row r="30" spans="1:11">
      <c r="A30" s="34" t="s">
        <v>122</v>
      </c>
    </row>
    <row r="31" spans="1:11">
      <c r="A31" t="s">
        <v>123</v>
      </c>
      <c r="B31">
        <v>8</v>
      </c>
      <c r="C31">
        <v>1769.23</v>
      </c>
      <c r="E31">
        <f>B31*C31</f>
        <v>14153.84</v>
      </c>
    </row>
    <row r="32" spans="1:11">
      <c r="A32" t="s">
        <v>124</v>
      </c>
      <c r="B32">
        <f>26-B31</f>
        <v>18</v>
      </c>
      <c r="C32" s="35">
        <f>2133.98+(0.19*2133.98)</f>
        <v>2539.4362000000001</v>
      </c>
      <c r="E32">
        <f>C32*B32</f>
        <v>45709.851600000002</v>
      </c>
      <c r="G32" t="s">
        <v>165</v>
      </c>
    </row>
    <row r="33" spans="1:7">
      <c r="E33" s="36">
        <f>SUM(E31:E32)</f>
        <v>59863.691600000006</v>
      </c>
      <c r="G33" s="36">
        <f>E33/26</f>
        <v>2302.4496769230773</v>
      </c>
    </row>
    <row r="35" spans="1:7">
      <c r="A35" t="s">
        <v>125</v>
      </c>
      <c r="B35">
        <f>26-B36</f>
        <v>18</v>
      </c>
      <c r="C35">
        <f>45999.98/26</f>
        <v>1769.23</v>
      </c>
      <c r="E35">
        <f>C35*B35</f>
        <v>31846.14</v>
      </c>
    </row>
    <row r="36" spans="1:7">
      <c r="A36" t="s">
        <v>126</v>
      </c>
      <c r="B36">
        <v>8</v>
      </c>
      <c r="C36" s="37">
        <f>2401.99+(0.019*2401.99)</f>
        <v>2447.62781</v>
      </c>
      <c r="E36" s="37">
        <f>C36*B36</f>
        <v>19581.02248</v>
      </c>
      <c r="G36" t="s">
        <v>165</v>
      </c>
    </row>
    <row r="37" spans="1:7">
      <c r="E37" s="27">
        <f>E35+E36</f>
        <v>51427.162479999999</v>
      </c>
      <c r="G37" s="28">
        <f>E37/26</f>
        <v>1977.9677876923076</v>
      </c>
    </row>
    <row r="38" spans="1:7">
      <c r="E38" s="27"/>
    </row>
    <row r="40" spans="1:7">
      <c r="B40" s="26" t="s">
        <v>127</v>
      </c>
      <c r="C40" s="26"/>
      <c r="D40" t="s">
        <v>128</v>
      </c>
    </row>
    <row r="41" spans="1:7">
      <c r="B41" s="38" t="s">
        <v>129</v>
      </c>
      <c r="C41" s="38"/>
      <c r="D41" t="s">
        <v>129</v>
      </c>
      <c r="G41" t="s">
        <v>130</v>
      </c>
    </row>
    <row r="42" spans="1:7">
      <c r="A42" t="s">
        <v>131</v>
      </c>
      <c r="B42">
        <v>4</v>
      </c>
      <c r="C42">
        <v>1315.07</v>
      </c>
      <c r="D42">
        <f>26-B42</f>
        <v>22</v>
      </c>
      <c r="E42">
        <f>C42/0.6</f>
        <v>2191.7833333333333</v>
      </c>
      <c r="G42">
        <f>(B42*C42)+(D42*E42)</f>
        <v>53479.513333333329</v>
      </c>
    </row>
    <row r="45" spans="1:7">
      <c r="B45" t="s">
        <v>110</v>
      </c>
      <c r="C45" t="s">
        <v>132</v>
      </c>
      <c r="D45" t="s">
        <v>133</v>
      </c>
      <c r="E45" t="s">
        <v>134</v>
      </c>
      <c r="G45" t="s">
        <v>135</v>
      </c>
    </row>
    <row r="46" spans="1:7">
      <c r="A46" t="s">
        <v>136</v>
      </c>
      <c r="B46">
        <v>36</v>
      </c>
      <c r="C46">
        <v>10</v>
      </c>
      <c r="D46">
        <v>15</v>
      </c>
      <c r="E46">
        <v>5</v>
      </c>
      <c r="G46">
        <f>B46*C46*D46*E46</f>
        <v>27000</v>
      </c>
    </row>
    <row r="51" spans="1:13">
      <c r="A51" s="34" t="s">
        <v>137</v>
      </c>
    </row>
    <row r="52" spans="1:13">
      <c r="A52" s="39" t="s">
        <v>138</v>
      </c>
      <c r="B52" s="39" t="s">
        <v>130</v>
      </c>
      <c r="C52" s="39" t="s">
        <v>139</v>
      </c>
      <c r="D52" s="39" t="s">
        <v>140</v>
      </c>
      <c r="E52" s="39" t="s">
        <v>141</v>
      </c>
      <c r="F52" s="39" t="s">
        <v>142</v>
      </c>
      <c r="G52" s="39" t="s">
        <v>112</v>
      </c>
      <c r="H52" s="39" t="s">
        <v>113</v>
      </c>
      <c r="I52" s="39" t="s">
        <v>31</v>
      </c>
      <c r="J52" s="39" t="s">
        <v>143</v>
      </c>
      <c r="L52" s="40" t="s">
        <v>112</v>
      </c>
      <c r="M52" s="40" t="s">
        <v>113</v>
      </c>
    </row>
    <row r="53" spans="1:13">
      <c r="A53" t="s">
        <v>144</v>
      </c>
      <c r="B53" s="27">
        <v>88986.559999999998</v>
      </c>
      <c r="C53">
        <v>1410.24</v>
      </c>
      <c r="E53">
        <f>146.57*12</f>
        <v>1758.84</v>
      </c>
      <c r="F53" s="27">
        <f t="shared" ref="F53:F61" si="0">B53*0.05</f>
        <v>4449.3280000000004</v>
      </c>
      <c r="G53">
        <f>98.75*26</f>
        <v>2567.5</v>
      </c>
      <c r="H53">
        <f>36.73*26</f>
        <v>954.9799999999999</v>
      </c>
      <c r="L53" s="41">
        <v>4.9500000000000002E-2</v>
      </c>
      <c r="M53" s="42">
        <v>2.632E-2</v>
      </c>
    </row>
    <row r="54" spans="1:13">
      <c r="A54" t="s">
        <v>145</v>
      </c>
      <c r="B54" s="44">
        <v>61534.2</v>
      </c>
      <c r="D54">
        <f>141.5*12</f>
        <v>1698</v>
      </c>
      <c r="E54">
        <f>138.08*12</f>
        <v>1656.96</v>
      </c>
      <c r="F54" s="27">
        <f t="shared" si="0"/>
        <v>3076.71</v>
      </c>
      <c r="G54">
        <f t="shared" ref="G54:G61" si="1">98.75*26</f>
        <v>2567.5</v>
      </c>
      <c r="H54">
        <f t="shared" ref="H54:H61" si="2">36.73*26</f>
        <v>954.9799999999999</v>
      </c>
    </row>
    <row r="55" spans="1:13">
      <c r="A55" t="s">
        <v>123</v>
      </c>
      <c r="B55" s="27">
        <v>45999.98</v>
      </c>
      <c r="C55">
        <v>1410.24</v>
      </c>
      <c r="E55">
        <f>137.52*12</f>
        <v>1650.2400000000002</v>
      </c>
      <c r="F55" s="27">
        <f t="shared" si="0"/>
        <v>2299.9990000000003</v>
      </c>
      <c r="G55">
        <f t="shared" si="1"/>
        <v>2567.5</v>
      </c>
      <c r="H55">
        <f t="shared" si="2"/>
        <v>954.9799999999999</v>
      </c>
    </row>
    <row r="56" spans="1:13">
      <c r="A56" t="s">
        <v>146</v>
      </c>
      <c r="B56" s="44">
        <v>47149.96</v>
      </c>
      <c r="C56">
        <v>1410.24</v>
      </c>
      <c r="D56">
        <f>141.5*4</f>
        <v>566</v>
      </c>
      <c r="E56">
        <f>(123.83+136.41)*12</f>
        <v>3122.88</v>
      </c>
      <c r="F56" s="27">
        <f t="shared" si="0"/>
        <v>2357.498</v>
      </c>
      <c r="G56">
        <f t="shared" si="1"/>
        <v>2567.5</v>
      </c>
      <c r="H56">
        <f t="shared" si="2"/>
        <v>954.9799999999999</v>
      </c>
    </row>
    <row r="57" spans="1:13">
      <c r="A57" t="s">
        <v>147</v>
      </c>
      <c r="B57" s="44">
        <v>49778.559999999998</v>
      </c>
      <c r="C57">
        <v>1410.24</v>
      </c>
      <c r="E57">
        <f>136.41*12</f>
        <v>1636.92</v>
      </c>
      <c r="F57" s="27">
        <f t="shared" si="0"/>
        <v>2488.9279999999999</v>
      </c>
      <c r="G57">
        <f t="shared" si="1"/>
        <v>2567.5</v>
      </c>
      <c r="H57">
        <f t="shared" si="2"/>
        <v>954.9799999999999</v>
      </c>
    </row>
    <row r="58" spans="1:13">
      <c r="A58" t="s">
        <v>148</v>
      </c>
      <c r="B58" s="27">
        <v>53479.51</v>
      </c>
      <c r="C58">
        <v>1410.24</v>
      </c>
      <c r="E58">
        <f>293.39*12</f>
        <v>3520.68</v>
      </c>
      <c r="F58" s="27">
        <f t="shared" si="0"/>
        <v>2673.9755000000005</v>
      </c>
      <c r="G58">
        <f t="shared" si="1"/>
        <v>2567.5</v>
      </c>
      <c r="H58">
        <f t="shared" si="2"/>
        <v>954.9799999999999</v>
      </c>
    </row>
    <row r="59" spans="1:13">
      <c r="A59" t="s">
        <v>149</v>
      </c>
      <c r="B59" s="44">
        <v>45999.98</v>
      </c>
      <c r="D59">
        <f>141.5*12</f>
        <v>1698</v>
      </c>
      <c r="E59">
        <f>(136.41+261.81)*12</f>
        <v>4778.6400000000003</v>
      </c>
      <c r="F59" s="27">
        <f t="shared" si="0"/>
        <v>2299.9990000000003</v>
      </c>
      <c r="G59">
        <f t="shared" si="1"/>
        <v>2567.5</v>
      </c>
      <c r="H59">
        <f t="shared" si="2"/>
        <v>954.9799999999999</v>
      </c>
    </row>
    <row r="60" spans="1:13">
      <c r="A60" t="s">
        <v>150</v>
      </c>
      <c r="B60" s="44">
        <f>78999.96+(78999.96*0.06)</f>
        <v>83739.957600000009</v>
      </c>
      <c r="C60">
        <v>1735.68</v>
      </c>
      <c r="E60">
        <f>304.09*12</f>
        <v>3649.08</v>
      </c>
      <c r="F60" s="27">
        <f t="shared" si="0"/>
        <v>4186.9978800000008</v>
      </c>
      <c r="G60">
        <f t="shared" si="1"/>
        <v>2567.5</v>
      </c>
      <c r="H60">
        <f t="shared" si="2"/>
        <v>954.9799999999999</v>
      </c>
    </row>
    <row r="61" spans="1:13">
      <c r="A61" t="s">
        <v>125</v>
      </c>
      <c r="B61" s="27">
        <v>88572.32</v>
      </c>
      <c r="C61">
        <v>1410.24</v>
      </c>
      <c r="E61">
        <f>(141.32+136.41)*12</f>
        <v>3332.76</v>
      </c>
      <c r="F61" s="27">
        <f t="shared" si="0"/>
        <v>4428.6160000000009</v>
      </c>
      <c r="G61">
        <f t="shared" si="1"/>
        <v>2567.5</v>
      </c>
      <c r="H61">
        <f t="shared" si="2"/>
        <v>954.9799999999999</v>
      </c>
    </row>
    <row r="62" spans="1:13">
      <c r="B62" s="43">
        <f t="shared" ref="B62:J62" si="3">SUM(B53:B61)</f>
        <v>565241.02760000003</v>
      </c>
      <c r="C62" s="43">
        <f t="shared" si="3"/>
        <v>10197.119999999999</v>
      </c>
      <c r="D62" s="43">
        <f t="shared" si="3"/>
        <v>3962</v>
      </c>
      <c r="E62" s="43">
        <f t="shared" si="3"/>
        <v>25107</v>
      </c>
      <c r="F62" s="43">
        <f t="shared" si="3"/>
        <v>28262.051380000004</v>
      </c>
      <c r="G62" s="43">
        <f t="shared" si="3"/>
        <v>23107.5</v>
      </c>
      <c r="H62" s="43">
        <f t="shared" si="3"/>
        <v>8594.8199999999979</v>
      </c>
      <c r="I62" s="43">
        <f t="shared" si="3"/>
        <v>0</v>
      </c>
      <c r="J62" s="43">
        <f t="shared" si="3"/>
        <v>0</v>
      </c>
    </row>
    <row r="67" spans="1:10">
      <c r="A67" s="39" t="s">
        <v>151</v>
      </c>
      <c r="B67" s="39" t="s">
        <v>130</v>
      </c>
      <c r="C67" s="39" t="s">
        <v>139</v>
      </c>
      <c r="D67" s="39" t="s">
        <v>140</v>
      </c>
      <c r="E67" s="39" t="s">
        <v>141</v>
      </c>
      <c r="F67" s="39" t="s">
        <v>152</v>
      </c>
      <c r="G67" s="39" t="s">
        <v>112</v>
      </c>
      <c r="H67" s="39" t="s">
        <v>113</v>
      </c>
      <c r="I67" s="39" t="s">
        <v>31</v>
      </c>
      <c r="J67" s="39" t="s">
        <v>143</v>
      </c>
    </row>
    <row r="68" spans="1:10">
      <c r="A68" t="s">
        <v>153</v>
      </c>
      <c r="B68" s="27">
        <f>34396.96+(34396.96*0.019)</f>
        <v>35050.502240000002</v>
      </c>
      <c r="C68" s="27"/>
      <c r="D68" s="27">
        <f>141.5*12</f>
        <v>1698</v>
      </c>
      <c r="E68" s="27">
        <f>129.44*12</f>
        <v>1553.28</v>
      </c>
      <c r="F68" s="27"/>
      <c r="G68" s="27">
        <f>58.82*26</f>
        <v>1529.32</v>
      </c>
      <c r="H68" s="27">
        <f>34.87*26</f>
        <v>906.61999999999989</v>
      </c>
      <c r="I68" s="27"/>
      <c r="J68" s="27"/>
    </row>
    <row r="69" spans="1:10">
      <c r="A69" t="s">
        <v>154</v>
      </c>
      <c r="B69" s="27">
        <f t="shared" ref="B69:B72" si="4">34396.96+(34396.96*0.019)</f>
        <v>35050.502240000002</v>
      </c>
      <c r="C69" s="27"/>
      <c r="D69" s="27">
        <f>141.5*12</f>
        <v>1698</v>
      </c>
      <c r="E69" s="27">
        <f>129.44*12</f>
        <v>1553.28</v>
      </c>
      <c r="F69" s="27"/>
      <c r="G69" s="27">
        <f>58.82*26</f>
        <v>1529.32</v>
      </c>
      <c r="H69" s="27">
        <f>34.87*26</f>
        <v>906.61999999999989</v>
      </c>
      <c r="I69" s="27"/>
      <c r="J69" s="27"/>
    </row>
    <row r="70" spans="1:10">
      <c r="A70" t="s">
        <v>155</v>
      </c>
      <c r="B70" s="27">
        <f t="shared" si="4"/>
        <v>35050.502240000002</v>
      </c>
      <c r="C70" s="27"/>
      <c r="D70" s="27">
        <f>141.5*12</f>
        <v>1698</v>
      </c>
      <c r="E70" s="27">
        <f>129.77*12</f>
        <v>1557.2400000000002</v>
      </c>
      <c r="F70" s="27"/>
      <c r="G70" s="27">
        <f>58.82*26</f>
        <v>1529.32</v>
      </c>
      <c r="H70" s="27">
        <f>34.87*26</f>
        <v>906.61999999999989</v>
      </c>
      <c r="I70" s="27"/>
      <c r="J70" s="27"/>
    </row>
    <row r="71" spans="1:10">
      <c r="A71" t="s">
        <v>156</v>
      </c>
      <c r="B71" s="27">
        <f t="shared" si="4"/>
        <v>35050.502240000002</v>
      </c>
      <c r="C71" s="27"/>
      <c r="D71" s="27">
        <f>141.5*12</f>
        <v>1698</v>
      </c>
      <c r="E71" s="27">
        <f>129.77*12</f>
        <v>1557.2400000000002</v>
      </c>
      <c r="F71" s="27"/>
      <c r="G71" s="27">
        <f>58.82*26</f>
        <v>1529.32</v>
      </c>
      <c r="H71" s="27">
        <f>34.87*26</f>
        <v>906.61999999999989</v>
      </c>
      <c r="I71" s="27"/>
      <c r="J71" s="27"/>
    </row>
    <row r="72" spans="1:10">
      <c r="A72" t="s">
        <v>157</v>
      </c>
      <c r="B72" s="27">
        <f t="shared" si="4"/>
        <v>35050.502240000002</v>
      </c>
      <c r="C72" s="27"/>
      <c r="D72" s="27">
        <f>141.5*12</f>
        <v>1698</v>
      </c>
      <c r="E72" s="27">
        <f>129.77*12</f>
        <v>1557.2400000000002</v>
      </c>
      <c r="F72" s="27"/>
      <c r="G72" s="27">
        <f>58.82*26</f>
        <v>1529.32</v>
      </c>
      <c r="H72" s="27">
        <f>34.87*26</f>
        <v>906.61999999999989</v>
      </c>
      <c r="I72" s="27"/>
      <c r="J72" s="27"/>
    </row>
    <row r="73" spans="1:10">
      <c r="B73" s="43">
        <f t="shared" ref="B73:J73" si="5">SUM(B68:B72)</f>
        <v>175252.51120000001</v>
      </c>
      <c r="C73" s="43">
        <f t="shared" si="5"/>
        <v>0</v>
      </c>
      <c r="D73" s="43">
        <f t="shared" si="5"/>
        <v>8490</v>
      </c>
      <c r="E73" s="43">
        <f t="shared" si="5"/>
        <v>7778.2800000000007</v>
      </c>
      <c r="F73" s="43">
        <f t="shared" si="5"/>
        <v>0</v>
      </c>
      <c r="G73" s="43">
        <f t="shared" si="5"/>
        <v>7646.5999999999995</v>
      </c>
      <c r="H73" s="43">
        <f t="shared" si="5"/>
        <v>4533.0999999999995</v>
      </c>
      <c r="I73" s="43">
        <f t="shared" si="5"/>
        <v>0</v>
      </c>
      <c r="J73" s="43">
        <f t="shared" si="5"/>
        <v>0</v>
      </c>
    </row>
    <row r="79" spans="1:10">
      <c r="A79" t="s">
        <v>158</v>
      </c>
    </row>
    <row r="81" spans="1:8">
      <c r="A81" s="39" t="s">
        <v>138</v>
      </c>
      <c r="B81" s="39" t="s">
        <v>130</v>
      </c>
    </row>
    <row r="82" spans="1:8">
      <c r="A82" t="s">
        <v>144</v>
      </c>
      <c r="B82" s="27">
        <v>3422.56</v>
      </c>
      <c r="C82" s="28">
        <f>B82*26</f>
        <v>88986.559999999998</v>
      </c>
    </row>
    <row r="83" spans="1:8">
      <c r="A83" t="s">
        <v>145</v>
      </c>
      <c r="B83" s="27">
        <v>2366.6999999999998</v>
      </c>
      <c r="C83" s="28">
        <f t="shared" ref="C83:C90" si="6">B83*26</f>
        <v>61534.2</v>
      </c>
    </row>
    <row r="84" spans="1:8">
      <c r="A84" t="s">
        <v>159</v>
      </c>
      <c r="B84" s="45">
        <f>G33</f>
        <v>2302.4496769230773</v>
      </c>
      <c r="C84" s="28">
        <f t="shared" si="6"/>
        <v>59863.691600000006</v>
      </c>
    </row>
    <row r="85" spans="1:8">
      <c r="A85" t="s">
        <v>146</v>
      </c>
      <c r="B85" s="27">
        <v>1813.46</v>
      </c>
      <c r="C85" s="28">
        <f t="shared" si="6"/>
        <v>47149.96</v>
      </c>
    </row>
    <row r="86" spans="1:8">
      <c r="A86" t="s">
        <v>147</v>
      </c>
      <c r="B86" s="27">
        <v>1914.56</v>
      </c>
      <c r="C86" s="28">
        <f t="shared" si="6"/>
        <v>49778.559999999998</v>
      </c>
    </row>
    <row r="87" spans="1:8">
      <c r="A87" t="s">
        <v>148</v>
      </c>
      <c r="B87" s="27">
        <v>2312.3200000000002</v>
      </c>
      <c r="C87" s="28">
        <f>G42</f>
        <v>53479.513333333329</v>
      </c>
    </row>
    <row r="88" spans="1:8">
      <c r="A88" t="s">
        <v>149</v>
      </c>
      <c r="B88" s="27">
        <v>1769.23</v>
      </c>
      <c r="C88" s="28">
        <f t="shared" si="6"/>
        <v>45999.98</v>
      </c>
      <c r="E88">
        <v>1813.46</v>
      </c>
      <c r="G88" t="s">
        <v>160</v>
      </c>
      <c r="H88">
        <f>262*3</f>
        <v>786</v>
      </c>
    </row>
    <row r="89" spans="1:8">
      <c r="A89" t="s">
        <v>150</v>
      </c>
      <c r="B89" s="27">
        <v>3205.57</v>
      </c>
      <c r="C89" s="28">
        <f t="shared" si="6"/>
        <v>83344.820000000007</v>
      </c>
      <c r="G89" t="s">
        <v>161</v>
      </c>
      <c r="H89">
        <f>22*20*3</f>
        <v>1320</v>
      </c>
    </row>
    <row r="90" spans="1:8">
      <c r="A90" t="s">
        <v>117</v>
      </c>
      <c r="B90" s="27">
        <f>G37</f>
        <v>1977.9677876923076</v>
      </c>
      <c r="C90" s="28">
        <f t="shared" si="6"/>
        <v>51427.162479999999</v>
      </c>
      <c r="G90" t="s">
        <v>162</v>
      </c>
      <c r="H90">
        <f>40*22*3</f>
        <v>2640</v>
      </c>
    </row>
    <row r="91" spans="1:8">
      <c r="H91">
        <f>SUM(H88:H90)</f>
        <v>4746</v>
      </c>
    </row>
    <row r="94" spans="1:8">
      <c r="G94" t="s">
        <v>163</v>
      </c>
      <c r="H94">
        <v>5000</v>
      </c>
    </row>
    <row r="95" spans="1:8">
      <c r="G95" t="s">
        <v>164</v>
      </c>
      <c r="H95">
        <v>2000</v>
      </c>
    </row>
  </sheetData>
  <mergeCells count="19">
    <mergeCell ref="B40:C40"/>
    <mergeCell ref="A20:B20"/>
    <mergeCell ref="A24:F24"/>
    <mergeCell ref="A25:C25"/>
    <mergeCell ref="D25:F25"/>
    <mergeCell ref="A28:C28"/>
    <mergeCell ref="D28:F28"/>
    <mergeCell ref="E14:F14"/>
    <mergeCell ref="A15:B15"/>
    <mergeCell ref="A16:B16"/>
    <mergeCell ref="A17:B17"/>
    <mergeCell ref="A18:B18"/>
    <mergeCell ref="A19:B19"/>
    <mergeCell ref="A1:B1"/>
    <mergeCell ref="A2:B2"/>
    <mergeCell ref="A3:B3"/>
    <mergeCell ref="A4:B4"/>
    <mergeCell ref="A5:B5"/>
    <mergeCell ref="C14:D14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5"/>
  <sheetViews>
    <sheetView topLeftCell="A28" workbookViewId="0">
      <selection activeCell="B62" sqref="B62"/>
    </sheetView>
  </sheetViews>
  <sheetFormatPr baseColWidth="10" defaultRowHeight="15" x14ac:dyDescent="0"/>
  <cols>
    <col min="1" max="1" width="13.6640625" bestFit="1" customWidth="1"/>
    <col min="2" max="2" width="14.1640625" bestFit="1" customWidth="1"/>
    <col min="3" max="3" width="11.5" bestFit="1" customWidth="1"/>
    <col min="4" max="4" width="12.5" customWidth="1"/>
    <col min="5" max="5" width="12.83203125" bestFit="1" customWidth="1"/>
    <col min="6" max="6" width="16.1640625" bestFit="1" customWidth="1"/>
    <col min="7" max="7" width="12.1640625" bestFit="1" customWidth="1"/>
    <col min="8" max="9" width="11.5" bestFit="1" customWidth="1"/>
  </cols>
  <sheetData>
    <row r="1" spans="1:11">
      <c r="A1" s="22" t="s">
        <v>100</v>
      </c>
      <c r="B1" s="22"/>
      <c r="C1" s="23" t="s">
        <v>101</v>
      </c>
      <c r="D1" s="23" t="s">
        <v>102</v>
      </c>
      <c r="E1" s="23" t="s">
        <v>103</v>
      </c>
    </row>
    <row r="2" spans="1:11">
      <c r="A2" s="22" t="s">
        <v>104</v>
      </c>
      <c r="B2" s="22"/>
      <c r="C2" s="23">
        <f>100+(11*160)</f>
        <v>1860</v>
      </c>
      <c r="D2" s="24">
        <v>15</v>
      </c>
      <c r="E2" s="24">
        <f>D2*C2</f>
        <v>27900</v>
      </c>
    </row>
    <row r="3" spans="1:11">
      <c r="A3" s="22" t="s">
        <v>105</v>
      </c>
      <c r="B3" s="22"/>
    </row>
    <row r="4" spans="1:11">
      <c r="A4" s="22" t="s">
        <v>106</v>
      </c>
      <c r="B4" s="22"/>
      <c r="C4">
        <f>1560+720</f>
        <v>2280</v>
      </c>
    </row>
    <row r="5" spans="1:11">
      <c r="A5" s="22" t="s">
        <v>86</v>
      </c>
      <c r="B5" s="22"/>
      <c r="C5">
        <f>(24*30)+(20*16)</f>
        <v>1040</v>
      </c>
      <c r="D5" s="25">
        <v>15</v>
      </c>
      <c r="E5" s="25">
        <f>D5*C5</f>
        <v>15600</v>
      </c>
    </row>
    <row r="14" spans="1:11">
      <c r="C14" s="26" t="s">
        <v>107</v>
      </c>
      <c r="D14" s="26"/>
      <c r="E14" s="26" t="s">
        <v>108</v>
      </c>
      <c r="F14" s="26"/>
    </row>
    <row r="15" spans="1:11">
      <c r="A15" s="22" t="s">
        <v>100</v>
      </c>
      <c r="B15" s="22"/>
      <c r="C15" t="s">
        <v>109</v>
      </c>
      <c r="D15" t="s">
        <v>110</v>
      </c>
      <c r="E15" t="s">
        <v>109</v>
      </c>
      <c r="F15" t="s">
        <v>110</v>
      </c>
      <c r="G15" t="s">
        <v>111</v>
      </c>
      <c r="H15" t="s">
        <v>38</v>
      </c>
      <c r="I15" t="s">
        <v>112</v>
      </c>
      <c r="J15" t="s">
        <v>113</v>
      </c>
      <c r="K15" t="s">
        <v>114</v>
      </c>
    </row>
    <row r="16" spans="1:11">
      <c r="A16" s="22" t="s">
        <v>104</v>
      </c>
      <c r="B16" s="22"/>
      <c r="C16">
        <v>40</v>
      </c>
      <c r="D16">
        <v>18</v>
      </c>
      <c r="E16">
        <v>40</v>
      </c>
      <c r="F16">
        <v>34</v>
      </c>
      <c r="G16">
        <v>15</v>
      </c>
      <c r="H16" s="27">
        <f>((F16*E16)+(C16*D16))*G16</f>
        <v>31200</v>
      </c>
      <c r="I16" s="28">
        <f>H16*L$53</f>
        <v>1544.4</v>
      </c>
      <c r="J16" s="28">
        <f>H16*M$53</f>
        <v>821.18399999999997</v>
      </c>
      <c r="K16" s="28">
        <f>H16*0.04</f>
        <v>1248</v>
      </c>
    </row>
    <row r="17" spans="1:11">
      <c r="A17" s="22" t="s">
        <v>105</v>
      </c>
      <c r="B17" s="22"/>
      <c r="C17">
        <v>81</v>
      </c>
      <c r="D17">
        <v>18</v>
      </c>
      <c r="E17">
        <v>152.5</v>
      </c>
      <c r="F17">
        <v>34</v>
      </c>
      <c r="G17">
        <v>15</v>
      </c>
      <c r="H17" s="27">
        <f>((F17*E17)+(C17*D17))*G17</f>
        <v>99645</v>
      </c>
      <c r="I17" s="28">
        <f>H17*L$53</f>
        <v>4932.4274999999998</v>
      </c>
      <c r="J17" s="28">
        <f>H17*M$53</f>
        <v>2622.6563999999998</v>
      </c>
      <c r="K17" s="28">
        <f>H17*0.04</f>
        <v>3985.8</v>
      </c>
    </row>
    <row r="18" spans="1:11">
      <c r="A18" s="22" t="s">
        <v>106</v>
      </c>
      <c r="B18" s="22"/>
      <c r="C18">
        <v>45</v>
      </c>
      <c r="D18">
        <v>18</v>
      </c>
      <c r="E18">
        <v>52</v>
      </c>
      <c r="F18">
        <v>34</v>
      </c>
      <c r="G18">
        <v>15</v>
      </c>
      <c r="H18" s="27">
        <f>((F18*E18)+(C18*D18))*G18</f>
        <v>38670</v>
      </c>
      <c r="I18" s="28">
        <f>H18*L$53</f>
        <v>1914.1650000000002</v>
      </c>
      <c r="J18" s="28">
        <f>H18*M$53</f>
        <v>1017.7944</v>
      </c>
      <c r="K18" s="28">
        <f>H18*0.04</f>
        <v>1546.8</v>
      </c>
    </row>
    <row r="19" spans="1:11">
      <c r="A19" s="22" t="s">
        <v>86</v>
      </c>
      <c r="B19" s="22"/>
      <c r="C19">
        <v>20</v>
      </c>
      <c r="D19">
        <v>18</v>
      </c>
      <c r="E19">
        <v>24</v>
      </c>
      <c r="F19">
        <v>34</v>
      </c>
      <c r="G19">
        <v>15</v>
      </c>
      <c r="H19" s="27">
        <f>((F19*E19)+(C19*D19))*G19</f>
        <v>17640</v>
      </c>
      <c r="I19" s="28">
        <f>H19*L$53</f>
        <v>873.18000000000006</v>
      </c>
      <c r="J19" s="28">
        <f>H19*M$53</f>
        <v>464.28480000000002</v>
      </c>
      <c r="K19" s="28">
        <f>H19*0.04</f>
        <v>705.6</v>
      </c>
    </row>
    <row r="20" spans="1:11">
      <c r="A20" s="29" t="s">
        <v>115</v>
      </c>
      <c r="B20" s="29"/>
      <c r="C20">
        <v>40.5</v>
      </c>
      <c r="D20">
        <v>18</v>
      </c>
      <c r="E20">
        <v>40</v>
      </c>
      <c r="F20">
        <v>34</v>
      </c>
      <c r="G20">
        <v>17</v>
      </c>
      <c r="H20" s="27">
        <f>((F20*E20)+(C20*D20))*G20</f>
        <v>35513</v>
      </c>
      <c r="I20" s="28">
        <f>H20*L$53</f>
        <v>1757.8935000000001</v>
      </c>
      <c r="J20" s="28">
        <f>H20*M$53</f>
        <v>934.70215999999994</v>
      </c>
      <c r="K20" s="28">
        <f>H20*0.04</f>
        <v>1420.52</v>
      </c>
    </row>
    <row r="21" spans="1:11">
      <c r="I21" s="30">
        <f>SUM(I16:I20)</f>
        <v>11022.066000000001</v>
      </c>
      <c r="J21" s="30">
        <f>SUM(J16:J20)</f>
        <v>5860.62176</v>
      </c>
      <c r="K21" s="30">
        <f>SUM(K16:K20)</f>
        <v>8906.7200000000012</v>
      </c>
    </row>
    <row r="24" spans="1:11">
      <c r="A24" s="31" t="s">
        <v>116</v>
      </c>
      <c r="B24" s="32"/>
      <c r="C24" s="32"/>
      <c r="D24" s="32"/>
      <c r="E24" s="32"/>
      <c r="F24" s="33"/>
    </row>
    <row r="25" spans="1:11">
      <c r="A25" s="22" t="s">
        <v>117</v>
      </c>
      <c r="B25" s="22"/>
      <c r="C25" s="22"/>
      <c r="D25" s="22" t="s">
        <v>118</v>
      </c>
      <c r="E25" s="22"/>
      <c r="F25" s="22"/>
    </row>
    <row r="26" spans="1:11">
      <c r="A26" s="23" t="s">
        <v>119</v>
      </c>
      <c r="B26" s="23" t="s">
        <v>120</v>
      </c>
      <c r="C26" s="23" t="s">
        <v>121</v>
      </c>
      <c r="D26" s="23" t="s">
        <v>119</v>
      </c>
      <c r="E26" s="23" t="s">
        <v>120</v>
      </c>
      <c r="F26" s="23" t="s">
        <v>121</v>
      </c>
    </row>
    <row r="27" spans="1:11">
      <c r="A27" s="23">
        <v>5.5</v>
      </c>
      <c r="B27" s="23">
        <v>5</v>
      </c>
      <c r="C27" s="23">
        <v>5</v>
      </c>
      <c r="D27" s="23">
        <v>5</v>
      </c>
      <c r="E27" s="23">
        <v>5</v>
      </c>
      <c r="F27" s="23">
        <v>5</v>
      </c>
    </row>
    <row r="28" spans="1:11">
      <c r="A28" s="31">
        <v>15.5</v>
      </c>
      <c r="B28" s="32"/>
      <c r="C28" s="33"/>
      <c r="D28" s="31">
        <v>15</v>
      </c>
      <c r="E28" s="32"/>
      <c r="F28" s="33"/>
      <c r="G28" t="s">
        <v>38</v>
      </c>
    </row>
    <row r="30" spans="1:11">
      <c r="A30" s="34" t="s">
        <v>122</v>
      </c>
    </row>
    <row r="31" spans="1:11">
      <c r="A31" t="s">
        <v>123</v>
      </c>
      <c r="B31">
        <v>8</v>
      </c>
      <c r="C31">
        <v>1769.23</v>
      </c>
      <c r="E31">
        <f>B31*C31</f>
        <v>14153.84</v>
      </c>
    </row>
    <row r="32" spans="1:11">
      <c r="A32" t="s">
        <v>124</v>
      </c>
      <c r="B32">
        <f>26-B31</f>
        <v>18</v>
      </c>
      <c r="C32" s="35">
        <f>2133.98+(0.19*2133.98)</f>
        <v>2539.4362000000001</v>
      </c>
      <c r="E32">
        <f>C32*B32</f>
        <v>45709.851600000002</v>
      </c>
      <c r="G32" t="s">
        <v>165</v>
      </c>
    </row>
    <row r="33" spans="1:7">
      <c r="E33" s="36">
        <f>SUM(E31:E32)</f>
        <v>59863.691600000006</v>
      </c>
      <c r="G33" s="36">
        <f>E33/26</f>
        <v>2302.4496769230773</v>
      </c>
    </row>
    <row r="35" spans="1:7">
      <c r="A35" t="s">
        <v>125</v>
      </c>
      <c r="B35">
        <f>26-B36</f>
        <v>18</v>
      </c>
      <c r="C35">
        <f>45999.98/26</f>
        <v>1769.23</v>
      </c>
      <c r="E35">
        <f>C35*B35</f>
        <v>31846.14</v>
      </c>
    </row>
    <row r="36" spans="1:7">
      <c r="A36" t="s">
        <v>126</v>
      </c>
      <c r="B36">
        <v>8</v>
      </c>
      <c r="C36" s="37">
        <f>2401.99+(0.019*2401.99)</f>
        <v>2447.62781</v>
      </c>
      <c r="E36" s="37">
        <f>C36*B36</f>
        <v>19581.02248</v>
      </c>
      <c r="G36" t="s">
        <v>165</v>
      </c>
    </row>
    <row r="37" spans="1:7">
      <c r="E37" s="27">
        <f>E35+E36</f>
        <v>51427.162479999999</v>
      </c>
      <c r="G37" s="28">
        <f>E37/26</f>
        <v>1977.9677876923076</v>
      </c>
    </row>
    <row r="38" spans="1:7">
      <c r="E38" s="27"/>
    </row>
    <row r="40" spans="1:7">
      <c r="B40" s="26" t="s">
        <v>127</v>
      </c>
      <c r="C40" s="26"/>
      <c r="D40" t="s">
        <v>128</v>
      </c>
    </row>
    <row r="41" spans="1:7">
      <c r="B41" s="38" t="s">
        <v>129</v>
      </c>
      <c r="C41" s="38"/>
      <c r="D41" t="s">
        <v>129</v>
      </c>
      <c r="G41" t="s">
        <v>130</v>
      </c>
    </row>
    <row r="42" spans="1:7">
      <c r="A42" t="s">
        <v>131</v>
      </c>
      <c r="B42">
        <v>4</v>
      </c>
      <c r="C42">
        <v>1315.07</v>
      </c>
      <c r="D42">
        <f>26-B42</f>
        <v>22</v>
      </c>
      <c r="E42">
        <f>C42/0.6</f>
        <v>2191.7833333333333</v>
      </c>
      <c r="G42">
        <f>(B42*C42)+(D42*E42)</f>
        <v>53479.513333333329</v>
      </c>
    </row>
    <row r="45" spans="1:7">
      <c r="B45" t="s">
        <v>110</v>
      </c>
      <c r="C45" t="s">
        <v>132</v>
      </c>
      <c r="D45" t="s">
        <v>133</v>
      </c>
      <c r="E45" t="s">
        <v>134</v>
      </c>
      <c r="G45" t="s">
        <v>135</v>
      </c>
    </row>
    <row r="46" spans="1:7">
      <c r="A46" t="s">
        <v>136</v>
      </c>
      <c r="B46">
        <v>36</v>
      </c>
      <c r="C46">
        <v>10</v>
      </c>
      <c r="D46">
        <v>15</v>
      </c>
      <c r="E46">
        <v>5</v>
      </c>
      <c r="G46">
        <f>B46*C46*D46*E46</f>
        <v>27000</v>
      </c>
    </row>
    <row r="51" spans="1:13">
      <c r="A51" s="34" t="s">
        <v>137</v>
      </c>
    </row>
    <row r="52" spans="1:13">
      <c r="A52" s="39" t="s">
        <v>138</v>
      </c>
      <c r="B52" s="39" t="s">
        <v>130</v>
      </c>
      <c r="C52" s="39" t="s">
        <v>139</v>
      </c>
      <c r="D52" s="39" t="s">
        <v>140</v>
      </c>
      <c r="E52" s="39" t="s">
        <v>141</v>
      </c>
      <c r="F52" s="39" t="s">
        <v>142</v>
      </c>
      <c r="G52" s="39" t="s">
        <v>112</v>
      </c>
      <c r="H52" s="39" t="s">
        <v>113</v>
      </c>
      <c r="I52" s="39" t="s">
        <v>31</v>
      </c>
      <c r="J52" s="39" t="s">
        <v>143</v>
      </c>
      <c r="L52" s="40" t="s">
        <v>112</v>
      </c>
      <c r="M52" s="40" t="s">
        <v>113</v>
      </c>
    </row>
    <row r="53" spans="1:13">
      <c r="A53" t="s">
        <v>144</v>
      </c>
      <c r="B53" s="27">
        <v>88986.559999999998</v>
      </c>
      <c r="C53">
        <v>1410.24</v>
      </c>
      <c r="E53">
        <f>146.57*12</f>
        <v>1758.84</v>
      </c>
      <c r="F53" s="27">
        <f t="shared" ref="F53:F61" si="0">B53*0.05</f>
        <v>4449.3280000000004</v>
      </c>
      <c r="G53">
        <f>98.75*26</f>
        <v>2567.5</v>
      </c>
      <c r="H53">
        <f>36.73*26</f>
        <v>954.9799999999999</v>
      </c>
      <c r="L53" s="41">
        <v>4.9500000000000002E-2</v>
      </c>
      <c r="M53" s="42">
        <v>2.632E-2</v>
      </c>
    </row>
    <row r="54" spans="1:13">
      <c r="A54" t="s">
        <v>145</v>
      </c>
      <c r="B54" s="27">
        <v>61534.2</v>
      </c>
      <c r="D54">
        <f>141.5*12</f>
        <v>1698</v>
      </c>
      <c r="E54">
        <f>138.08*12</f>
        <v>1656.96</v>
      </c>
      <c r="F54" s="27">
        <f t="shared" si="0"/>
        <v>3076.71</v>
      </c>
      <c r="G54">
        <f t="shared" ref="G54:G61" si="1">98.75*26</f>
        <v>2567.5</v>
      </c>
      <c r="H54">
        <f t="shared" ref="H54:H61" si="2">36.73*26</f>
        <v>954.9799999999999</v>
      </c>
    </row>
    <row r="55" spans="1:13">
      <c r="A55" t="s">
        <v>123</v>
      </c>
      <c r="B55" s="27">
        <v>45999.98</v>
      </c>
      <c r="C55">
        <v>1410.24</v>
      </c>
      <c r="E55">
        <f>137.52*12</f>
        <v>1650.2400000000002</v>
      </c>
      <c r="F55" s="27">
        <f t="shared" si="0"/>
        <v>2299.9990000000003</v>
      </c>
      <c r="G55">
        <f t="shared" si="1"/>
        <v>2567.5</v>
      </c>
      <c r="H55">
        <f t="shared" si="2"/>
        <v>954.9799999999999</v>
      </c>
    </row>
    <row r="56" spans="1:13">
      <c r="A56" t="s">
        <v>146</v>
      </c>
      <c r="B56" s="27">
        <v>47149.96</v>
      </c>
      <c r="C56">
        <v>1410.24</v>
      </c>
      <c r="D56">
        <f>141.5*4</f>
        <v>566</v>
      </c>
      <c r="E56">
        <f>(123.83+136.41)*12</f>
        <v>3122.88</v>
      </c>
      <c r="F56" s="27">
        <f t="shared" si="0"/>
        <v>2357.498</v>
      </c>
      <c r="G56">
        <f t="shared" si="1"/>
        <v>2567.5</v>
      </c>
      <c r="H56">
        <f t="shared" si="2"/>
        <v>954.9799999999999</v>
      </c>
    </row>
    <row r="57" spans="1:13">
      <c r="A57" t="s">
        <v>147</v>
      </c>
      <c r="B57" s="27">
        <v>49778.559999999998</v>
      </c>
      <c r="C57">
        <v>1410.24</v>
      </c>
      <c r="E57">
        <f>136.41*12</f>
        <v>1636.92</v>
      </c>
      <c r="F57" s="27">
        <f t="shared" si="0"/>
        <v>2488.9279999999999</v>
      </c>
      <c r="G57">
        <f t="shared" si="1"/>
        <v>2567.5</v>
      </c>
      <c r="H57">
        <f t="shared" si="2"/>
        <v>954.9799999999999</v>
      </c>
    </row>
    <row r="58" spans="1:13">
      <c r="A58" t="s">
        <v>148</v>
      </c>
      <c r="B58" s="27">
        <v>53479.51</v>
      </c>
      <c r="C58">
        <v>1410.24</v>
      </c>
      <c r="E58">
        <f>293.39*12</f>
        <v>3520.68</v>
      </c>
      <c r="F58" s="27">
        <f t="shared" si="0"/>
        <v>2673.9755000000005</v>
      </c>
      <c r="G58">
        <f t="shared" si="1"/>
        <v>2567.5</v>
      </c>
      <c r="H58">
        <f t="shared" si="2"/>
        <v>954.9799999999999</v>
      </c>
    </row>
    <row r="59" spans="1:13">
      <c r="A59" t="s">
        <v>149</v>
      </c>
      <c r="B59" s="27">
        <v>45999.98</v>
      </c>
      <c r="D59">
        <f>141.5*12</f>
        <v>1698</v>
      </c>
      <c r="E59">
        <f>(136.41+261.81)*12</f>
        <v>4778.6400000000003</v>
      </c>
      <c r="F59" s="27">
        <f t="shared" si="0"/>
        <v>2299.9990000000003</v>
      </c>
      <c r="G59">
        <f t="shared" si="1"/>
        <v>2567.5</v>
      </c>
      <c r="H59">
        <f t="shared" si="2"/>
        <v>954.9799999999999</v>
      </c>
    </row>
    <row r="60" spans="1:13">
      <c r="A60" t="s">
        <v>150</v>
      </c>
      <c r="B60" s="27">
        <f>78999.96+(78999.96*0.06)</f>
        <v>83739.957600000009</v>
      </c>
      <c r="C60">
        <v>1735.68</v>
      </c>
      <c r="E60">
        <f>304.09*12</f>
        <v>3649.08</v>
      </c>
      <c r="F60" s="27">
        <f t="shared" si="0"/>
        <v>4186.9978800000008</v>
      </c>
      <c r="G60">
        <f t="shared" si="1"/>
        <v>2567.5</v>
      </c>
      <c r="H60">
        <f t="shared" si="2"/>
        <v>954.9799999999999</v>
      </c>
    </row>
    <row r="61" spans="1:13">
      <c r="A61" t="s">
        <v>125</v>
      </c>
      <c r="B61" s="27">
        <v>45999.98</v>
      </c>
      <c r="C61">
        <v>1410.24</v>
      </c>
      <c r="E61">
        <f>(141.32+136.41)*12</f>
        <v>3332.76</v>
      </c>
      <c r="F61" s="27">
        <f t="shared" si="0"/>
        <v>2299.9990000000003</v>
      </c>
      <c r="G61">
        <f t="shared" si="1"/>
        <v>2567.5</v>
      </c>
      <c r="H61">
        <f t="shared" si="2"/>
        <v>954.9799999999999</v>
      </c>
    </row>
    <row r="62" spans="1:13">
      <c r="B62" s="43">
        <f t="shared" ref="B62:J62" si="3">SUM(B53:B61)</f>
        <v>522668.6876</v>
      </c>
      <c r="C62" s="43">
        <f t="shared" si="3"/>
        <v>10197.119999999999</v>
      </c>
      <c r="D62" s="43">
        <f t="shared" si="3"/>
        <v>3962</v>
      </c>
      <c r="E62" s="43">
        <f t="shared" si="3"/>
        <v>25107</v>
      </c>
      <c r="F62" s="43">
        <f t="shared" si="3"/>
        <v>26133.434380000002</v>
      </c>
      <c r="G62" s="43">
        <f t="shared" si="3"/>
        <v>23107.5</v>
      </c>
      <c r="H62" s="43">
        <f t="shared" si="3"/>
        <v>8594.8199999999979</v>
      </c>
      <c r="I62" s="43">
        <f t="shared" si="3"/>
        <v>0</v>
      </c>
      <c r="J62" s="43">
        <f t="shared" si="3"/>
        <v>0</v>
      </c>
    </row>
    <row r="67" spans="1:10">
      <c r="A67" s="39" t="s">
        <v>151</v>
      </c>
      <c r="B67" s="39" t="s">
        <v>130</v>
      </c>
      <c r="C67" s="39" t="s">
        <v>139</v>
      </c>
      <c r="D67" s="39" t="s">
        <v>140</v>
      </c>
      <c r="E67" s="39" t="s">
        <v>141</v>
      </c>
      <c r="F67" s="39" t="s">
        <v>152</v>
      </c>
      <c r="G67" s="39" t="s">
        <v>112</v>
      </c>
      <c r="H67" s="39" t="s">
        <v>113</v>
      </c>
      <c r="I67" s="39" t="s">
        <v>31</v>
      </c>
      <c r="J67" s="39" t="s">
        <v>143</v>
      </c>
    </row>
    <row r="68" spans="1:10">
      <c r="A68" t="s">
        <v>153</v>
      </c>
      <c r="B68" s="27">
        <f>34396.96+(34396.96*0.019)</f>
        <v>35050.502240000002</v>
      </c>
      <c r="C68" s="27"/>
      <c r="D68" s="27">
        <f>141.5*12</f>
        <v>1698</v>
      </c>
      <c r="E68" s="27">
        <f>129.44*12</f>
        <v>1553.28</v>
      </c>
      <c r="F68" s="27"/>
      <c r="G68" s="27">
        <f>58.82*26</f>
        <v>1529.32</v>
      </c>
      <c r="H68" s="27">
        <f>34.87*26</f>
        <v>906.61999999999989</v>
      </c>
      <c r="I68" s="27"/>
      <c r="J68" s="27"/>
    </row>
    <row r="69" spans="1:10">
      <c r="A69" t="s">
        <v>154</v>
      </c>
      <c r="B69" s="27">
        <f t="shared" ref="B69:B72" si="4">34396.96+(34396.96*0.019)</f>
        <v>35050.502240000002</v>
      </c>
      <c r="C69" s="27"/>
      <c r="D69" s="27">
        <f>141.5*12</f>
        <v>1698</v>
      </c>
      <c r="E69" s="27">
        <f>129.44*12</f>
        <v>1553.28</v>
      </c>
      <c r="F69" s="27"/>
      <c r="G69" s="27">
        <f>58.82*26</f>
        <v>1529.32</v>
      </c>
      <c r="H69" s="27">
        <f>34.87*26</f>
        <v>906.61999999999989</v>
      </c>
      <c r="I69" s="27"/>
      <c r="J69" s="27"/>
    </row>
    <row r="70" spans="1:10">
      <c r="A70" t="s">
        <v>155</v>
      </c>
      <c r="B70" s="27">
        <f t="shared" si="4"/>
        <v>35050.502240000002</v>
      </c>
      <c r="C70" s="27"/>
      <c r="D70" s="27">
        <f>141.5*12</f>
        <v>1698</v>
      </c>
      <c r="E70" s="27">
        <f>129.77*12</f>
        <v>1557.2400000000002</v>
      </c>
      <c r="F70" s="27"/>
      <c r="G70" s="27">
        <f>58.82*26</f>
        <v>1529.32</v>
      </c>
      <c r="H70" s="27">
        <f>34.87*26</f>
        <v>906.61999999999989</v>
      </c>
      <c r="I70" s="27"/>
      <c r="J70" s="27"/>
    </row>
    <row r="71" spans="1:10">
      <c r="A71" t="s">
        <v>156</v>
      </c>
      <c r="B71" s="27">
        <f t="shared" si="4"/>
        <v>35050.502240000002</v>
      </c>
      <c r="C71" s="27"/>
      <c r="D71" s="27">
        <f>141.5*12</f>
        <v>1698</v>
      </c>
      <c r="E71" s="27">
        <f>129.77*12</f>
        <v>1557.2400000000002</v>
      </c>
      <c r="F71" s="27"/>
      <c r="G71" s="27">
        <f>58.82*26</f>
        <v>1529.32</v>
      </c>
      <c r="H71" s="27">
        <f>34.87*26</f>
        <v>906.61999999999989</v>
      </c>
      <c r="I71" s="27"/>
      <c r="J71" s="27"/>
    </row>
    <row r="72" spans="1:10">
      <c r="A72" t="s">
        <v>157</v>
      </c>
      <c r="B72" s="27">
        <f t="shared" si="4"/>
        <v>35050.502240000002</v>
      </c>
      <c r="C72" s="27"/>
      <c r="D72" s="27">
        <f>141.5*12</f>
        <v>1698</v>
      </c>
      <c r="E72" s="27">
        <f>129.77*12</f>
        <v>1557.2400000000002</v>
      </c>
      <c r="F72" s="27"/>
      <c r="G72" s="27">
        <f>58.82*26</f>
        <v>1529.32</v>
      </c>
      <c r="H72" s="27">
        <f>34.87*26</f>
        <v>906.61999999999989</v>
      </c>
      <c r="I72" s="27"/>
      <c r="J72" s="27"/>
    </row>
    <row r="73" spans="1:10">
      <c r="B73" s="43">
        <f t="shared" ref="B73:J73" si="5">SUM(B68:B72)</f>
        <v>175252.51120000001</v>
      </c>
      <c r="C73" s="43">
        <f t="shared" si="5"/>
        <v>0</v>
      </c>
      <c r="D73" s="43">
        <f t="shared" si="5"/>
        <v>8490</v>
      </c>
      <c r="E73" s="43">
        <f t="shared" si="5"/>
        <v>7778.2800000000007</v>
      </c>
      <c r="F73" s="43">
        <f t="shared" si="5"/>
        <v>0</v>
      </c>
      <c r="G73" s="43">
        <f t="shared" si="5"/>
        <v>7646.5999999999995</v>
      </c>
      <c r="H73" s="43">
        <f t="shared" si="5"/>
        <v>4533.0999999999995</v>
      </c>
      <c r="I73" s="43">
        <f t="shared" si="5"/>
        <v>0</v>
      </c>
      <c r="J73" s="43">
        <f t="shared" si="5"/>
        <v>0</v>
      </c>
    </row>
    <row r="79" spans="1:10">
      <c r="A79" t="s">
        <v>158</v>
      </c>
    </row>
    <row r="81" spans="1:8">
      <c r="A81" s="39" t="s">
        <v>138</v>
      </c>
      <c r="B81" s="39" t="s">
        <v>130</v>
      </c>
    </row>
    <row r="82" spans="1:8">
      <c r="A82" t="s">
        <v>144</v>
      </c>
      <c r="B82" s="27">
        <v>3422.56</v>
      </c>
      <c r="C82" s="28">
        <f>B82*26</f>
        <v>88986.559999999998</v>
      </c>
    </row>
    <row r="83" spans="1:8">
      <c r="A83" t="s">
        <v>145</v>
      </c>
      <c r="B83" s="27">
        <v>2366.6999999999998</v>
      </c>
      <c r="C83" s="28">
        <f t="shared" ref="C83:C90" si="6">B83*26</f>
        <v>61534.2</v>
      </c>
    </row>
    <row r="84" spans="1:8">
      <c r="A84" t="s">
        <v>159</v>
      </c>
      <c r="B84" s="45">
        <f>G33</f>
        <v>2302.4496769230773</v>
      </c>
      <c r="C84" s="28">
        <f t="shared" si="6"/>
        <v>59863.691600000006</v>
      </c>
    </row>
    <row r="85" spans="1:8">
      <c r="A85" t="s">
        <v>146</v>
      </c>
      <c r="B85" s="27">
        <v>1813.46</v>
      </c>
      <c r="C85" s="28">
        <f t="shared" si="6"/>
        <v>47149.96</v>
      </c>
    </row>
    <row r="86" spans="1:8">
      <c r="A86" t="s">
        <v>147</v>
      </c>
      <c r="B86" s="27">
        <v>1914.56</v>
      </c>
      <c r="C86" s="28">
        <f t="shared" si="6"/>
        <v>49778.559999999998</v>
      </c>
    </row>
    <row r="87" spans="1:8">
      <c r="A87" t="s">
        <v>148</v>
      </c>
      <c r="B87" s="27">
        <v>2312.3200000000002</v>
      </c>
      <c r="C87" s="28">
        <f>G42</f>
        <v>53479.513333333329</v>
      </c>
    </row>
    <row r="88" spans="1:8">
      <c r="A88" t="s">
        <v>149</v>
      </c>
      <c r="B88" s="27">
        <v>1769.23</v>
      </c>
      <c r="C88" s="28">
        <f t="shared" si="6"/>
        <v>45999.98</v>
      </c>
      <c r="E88">
        <v>1813.46</v>
      </c>
      <c r="G88" t="s">
        <v>160</v>
      </c>
      <c r="H88">
        <f>262*3</f>
        <v>786</v>
      </c>
    </row>
    <row r="89" spans="1:8">
      <c r="A89" t="s">
        <v>150</v>
      </c>
      <c r="B89" s="27">
        <v>3205.57</v>
      </c>
      <c r="C89" s="28">
        <f t="shared" si="6"/>
        <v>83344.820000000007</v>
      </c>
      <c r="G89" t="s">
        <v>161</v>
      </c>
      <c r="H89">
        <f>22*20*3</f>
        <v>1320</v>
      </c>
    </row>
    <row r="90" spans="1:8">
      <c r="A90" t="s">
        <v>117</v>
      </c>
      <c r="B90" s="47">
        <f>G37</f>
        <v>1977.9677876923076</v>
      </c>
      <c r="C90" s="28">
        <f t="shared" si="6"/>
        <v>51427.162479999999</v>
      </c>
      <c r="G90" t="s">
        <v>162</v>
      </c>
      <c r="H90">
        <f>40*22*3</f>
        <v>2640</v>
      </c>
    </row>
    <row r="91" spans="1:8">
      <c r="H91">
        <f>SUM(H88:H90)</f>
        <v>4746</v>
      </c>
    </row>
    <row r="94" spans="1:8">
      <c r="G94" t="s">
        <v>163</v>
      </c>
      <c r="H94">
        <v>5000</v>
      </c>
    </row>
    <row r="95" spans="1:8">
      <c r="G95" t="s">
        <v>164</v>
      </c>
      <c r="H95">
        <v>2000</v>
      </c>
    </row>
  </sheetData>
  <mergeCells count="19">
    <mergeCell ref="B40:C40"/>
    <mergeCell ref="A20:B20"/>
    <mergeCell ref="A24:F24"/>
    <mergeCell ref="A25:C25"/>
    <mergeCell ref="D25:F25"/>
    <mergeCell ref="A28:C28"/>
    <mergeCell ref="D28:F28"/>
    <mergeCell ref="E14:F14"/>
    <mergeCell ref="A15:B15"/>
    <mergeCell ref="A16:B16"/>
    <mergeCell ref="A17:B17"/>
    <mergeCell ref="A18:B18"/>
    <mergeCell ref="A19:B19"/>
    <mergeCell ref="A1:B1"/>
    <mergeCell ref="A2:B2"/>
    <mergeCell ref="A3:B3"/>
    <mergeCell ref="A4:B4"/>
    <mergeCell ref="A5:B5"/>
    <mergeCell ref="C14:D14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Staffing Hours</vt:lpstr>
      <vt:lpstr>Staffing Hours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Yfs</dc:creator>
  <cp:lastModifiedBy>Yfs</cp:lastModifiedBy>
  <cp:lastPrinted>2016-07-12T20:33:42Z</cp:lastPrinted>
  <dcterms:created xsi:type="dcterms:W3CDTF">2016-07-12T20:15:24Z</dcterms:created>
  <dcterms:modified xsi:type="dcterms:W3CDTF">2017-06-20T23:30:56Z</dcterms:modified>
</cp:coreProperties>
</file>